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uscripts\Federica_Coef-Heterogeneity\Frontiers\Revision_II\Revised_Tables_S1-S2\"/>
    </mc:Choice>
  </mc:AlternateContent>
  <bookViews>
    <workbookView xWindow="29625" yWindow="600" windowWidth="18900" windowHeight="14190"/>
  </bookViews>
  <sheets>
    <sheet name="Table_S1 (HC_on_nanoSIMS_Data)" sheetId="11" r:id="rId1"/>
    <sheet name="Table_S1 (HC_single-cell_Data)" sheetId="10" r:id="rId2"/>
  </sheets>
  <definedNames>
    <definedName name="_13C14N_12C14N_2" localSheetId="0">'Table_S1 (HC_on_nanoSIMS_Data)'!$B$19:$J$80</definedName>
    <definedName name="_13C14N_12C14N_2" localSheetId="1">'Table_S1 (HC_single-cell_Data)'!#REF!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0" l="1"/>
  <c r="AB174" i="11"/>
  <c r="AA174" i="11"/>
  <c r="Z174" i="11"/>
  <c r="Y174" i="11"/>
  <c r="X174" i="11"/>
  <c r="W174" i="11"/>
  <c r="V174" i="11"/>
  <c r="M174" i="11"/>
  <c r="L174" i="11"/>
  <c r="AB173" i="11"/>
  <c r="AA173" i="11"/>
  <c r="Z173" i="11"/>
  <c r="Y173" i="11"/>
  <c r="X173" i="11"/>
  <c r="AC173" i="11"/>
  <c r="W173" i="11"/>
  <c r="V173" i="11"/>
  <c r="M173" i="11"/>
  <c r="L173" i="11"/>
  <c r="AB172" i="11"/>
  <c r="AA172" i="11"/>
  <c r="Z172" i="11"/>
  <c r="Y172" i="11"/>
  <c r="X172" i="11"/>
  <c r="AD172" i="11"/>
  <c r="W172" i="11"/>
  <c r="V172" i="11"/>
  <c r="M172" i="11"/>
  <c r="L172" i="11"/>
  <c r="N172" i="11"/>
  <c r="AB171" i="11"/>
  <c r="AA171" i="11"/>
  <c r="Z171" i="11"/>
  <c r="X171" i="11"/>
  <c r="W171" i="11"/>
  <c r="V171" i="11"/>
  <c r="M171" i="11"/>
  <c r="L171" i="11"/>
  <c r="N171" i="11"/>
  <c r="O171" i="11"/>
  <c r="AB170" i="11"/>
  <c r="AA170" i="11"/>
  <c r="Z170" i="11"/>
  <c r="Y170" i="11"/>
  <c r="X170" i="11"/>
  <c r="W170" i="11"/>
  <c r="V170" i="11"/>
  <c r="M170" i="11"/>
  <c r="L170" i="11"/>
  <c r="AB169" i="11"/>
  <c r="AA169" i="11"/>
  <c r="Z169" i="11"/>
  <c r="Y169" i="11"/>
  <c r="X169" i="11"/>
  <c r="AD169" i="11"/>
  <c r="AC169" i="11"/>
  <c r="W169" i="11"/>
  <c r="V169" i="11"/>
  <c r="M169" i="11"/>
  <c r="L169" i="11"/>
  <c r="AB168" i="11"/>
  <c r="AA168" i="11"/>
  <c r="Z168" i="11"/>
  <c r="X168" i="11"/>
  <c r="AC168" i="11"/>
  <c r="W168" i="11"/>
  <c r="V168" i="11"/>
  <c r="M168" i="11"/>
  <c r="L168" i="11"/>
  <c r="N168" i="11"/>
  <c r="O168" i="11"/>
  <c r="AB167" i="11"/>
  <c r="AA167" i="11"/>
  <c r="Z167" i="11"/>
  <c r="Y167" i="11"/>
  <c r="X167" i="11"/>
  <c r="AD167" i="11"/>
  <c r="AC167" i="11"/>
  <c r="W167" i="11"/>
  <c r="V167" i="11"/>
  <c r="M167" i="11"/>
  <c r="L167" i="11"/>
  <c r="N167" i="11"/>
  <c r="O167" i="11"/>
  <c r="X166" i="11"/>
  <c r="AC166" i="11"/>
  <c r="AB166" i="11"/>
  <c r="AA166" i="11"/>
  <c r="Z166" i="11"/>
  <c r="W166" i="11"/>
  <c r="V166" i="11"/>
  <c r="M166" i="11"/>
  <c r="L166" i="11"/>
  <c r="N166" i="11"/>
  <c r="O166" i="11"/>
  <c r="X165" i="11"/>
  <c r="AC165" i="11"/>
  <c r="AB165" i="11"/>
  <c r="AA165" i="11"/>
  <c r="Z165" i="11"/>
  <c r="W165" i="11"/>
  <c r="V165" i="11"/>
  <c r="M165" i="11"/>
  <c r="L165" i="11"/>
  <c r="N165" i="11"/>
  <c r="AB164" i="11"/>
  <c r="AA164" i="11"/>
  <c r="Z164" i="11"/>
  <c r="X164" i="11"/>
  <c r="AC164" i="11"/>
  <c r="W164" i="11"/>
  <c r="V164" i="11"/>
  <c r="M164" i="11"/>
  <c r="L164" i="11"/>
  <c r="N164" i="11"/>
  <c r="O164" i="11"/>
  <c r="AB163" i="11"/>
  <c r="AA163" i="11"/>
  <c r="Z163" i="11"/>
  <c r="Y163" i="11"/>
  <c r="X163" i="11"/>
  <c r="AD163" i="11"/>
  <c r="AC163" i="11"/>
  <c r="W163" i="11"/>
  <c r="V163" i="11"/>
  <c r="M163" i="11"/>
  <c r="L163" i="11"/>
  <c r="AB162" i="11"/>
  <c r="AA162" i="11"/>
  <c r="Z162" i="11"/>
  <c r="Y162" i="11"/>
  <c r="X162" i="11"/>
  <c r="W162" i="11"/>
  <c r="V162" i="11"/>
  <c r="M162" i="11"/>
  <c r="L162" i="11"/>
  <c r="AB161" i="11"/>
  <c r="AA161" i="11"/>
  <c r="Z161" i="11"/>
  <c r="X161" i="11"/>
  <c r="AC161" i="11"/>
  <c r="W161" i="11"/>
  <c r="V161" i="11"/>
  <c r="M161" i="11"/>
  <c r="L161" i="11"/>
  <c r="AB160" i="11"/>
  <c r="AA160" i="11"/>
  <c r="Z160" i="11"/>
  <c r="Y160" i="11"/>
  <c r="X160" i="11"/>
  <c r="AC160" i="11"/>
  <c r="W160" i="11"/>
  <c r="V160" i="11"/>
  <c r="M160" i="11"/>
  <c r="L160" i="11"/>
  <c r="N160" i="11"/>
  <c r="AB159" i="11"/>
  <c r="AA159" i="11"/>
  <c r="Z159" i="11"/>
  <c r="X159" i="11"/>
  <c r="W159" i="11"/>
  <c r="V159" i="11"/>
  <c r="M159" i="11"/>
  <c r="L159" i="11"/>
  <c r="N159" i="11"/>
  <c r="AB158" i="11"/>
  <c r="AA158" i="11"/>
  <c r="Z158" i="11"/>
  <c r="X158" i="11"/>
  <c r="W158" i="11"/>
  <c r="V158" i="11"/>
  <c r="M158" i="11"/>
  <c r="L158" i="11"/>
  <c r="N158" i="11"/>
  <c r="AB157" i="11"/>
  <c r="AA157" i="11"/>
  <c r="Z157" i="11"/>
  <c r="Y157" i="11"/>
  <c r="X157" i="11"/>
  <c r="AC157" i="11"/>
  <c r="W157" i="11"/>
  <c r="V157" i="11"/>
  <c r="M157" i="11"/>
  <c r="L157" i="11"/>
  <c r="N157" i="11"/>
  <c r="X156" i="11"/>
  <c r="AC156" i="11"/>
  <c r="AB156" i="11"/>
  <c r="AA156" i="11"/>
  <c r="Z156" i="11"/>
  <c r="W156" i="11"/>
  <c r="V156" i="11"/>
  <c r="M156" i="11"/>
  <c r="L156" i="11"/>
  <c r="N156" i="11"/>
  <c r="O156" i="11"/>
  <c r="AB155" i="11"/>
  <c r="AA155" i="11"/>
  <c r="Z155" i="11"/>
  <c r="X155" i="11"/>
  <c r="AC155" i="11"/>
  <c r="W155" i="11"/>
  <c r="V155" i="11"/>
  <c r="M155" i="11"/>
  <c r="L155" i="11"/>
  <c r="X154" i="11"/>
  <c r="AC154" i="11"/>
  <c r="AB154" i="11"/>
  <c r="AA154" i="11"/>
  <c r="Z154" i="11"/>
  <c r="W154" i="11"/>
  <c r="V154" i="11"/>
  <c r="M154" i="11"/>
  <c r="L154" i="11"/>
  <c r="N154" i="11"/>
  <c r="O154" i="11"/>
  <c r="X153" i="11"/>
  <c r="AC153" i="11"/>
  <c r="AB153" i="11"/>
  <c r="AA153" i="11"/>
  <c r="Z153" i="11"/>
  <c r="W153" i="11"/>
  <c r="V153" i="11"/>
  <c r="M153" i="11"/>
  <c r="L153" i="11"/>
  <c r="AB152" i="11"/>
  <c r="AA152" i="11"/>
  <c r="Z152" i="11"/>
  <c r="Y152" i="11"/>
  <c r="X152" i="11"/>
  <c r="AD152" i="11"/>
  <c r="AC152" i="11"/>
  <c r="W152" i="11"/>
  <c r="V152" i="11"/>
  <c r="M152" i="11"/>
  <c r="L152" i="11"/>
  <c r="N152" i="11"/>
  <c r="AB151" i="11"/>
  <c r="AA151" i="11"/>
  <c r="Z151" i="11"/>
  <c r="Y151" i="11"/>
  <c r="X151" i="11"/>
  <c r="AD151" i="11"/>
  <c r="W151" i="11"/>
  <c r="V151" i="11"/>
  <c r="M151" i="11"/>
  <c r="L151" i="11"/>
  <c r="AB150" i="11"/>
  <c r="AA150" i="11"/>
  <c r="Z150" i="11"/>
  <c r="Y150" i="11"/>
  <c r="X150" i="11"/>
  <c r="AC150" i="11"/>
  <c r="W150" i="11"/>
  <c r="V150" i="11"/>
  <c r="M150" i="11"/>
  <c r="L150" i="11"/>
  <c r="AB149" i="11"/>
  <c r="AA149" i="11"/>
  <c r="Z149" i="11"/>
  <c r="X149" i="11"/>
  <c r="AC149" i="11"/>
  <c r="W149" i="11"/>
  <c r="V149" i="11"/>
  <c r="M149" i="11"/>
  <c r="L149" i="11"/>
  <c r="N149" i="11"/>
  <c r="X148" i="11"/>
  <c r="AC148" i="11"/>
  <c r="AB148" i="11"/>
  <c r="AA148" i="11"/>
  <c r="Z148" i="11"/>
  <c r="W148" i="11"/>
  <c r="V148" i="11"/>
  <c r="M148" i="11"/>
  <c r="L148" i="11"/>
  <c r="AB147" i="11"/>
  <c r="AA147" i="11"/>
  <c r="Z147" i="11"/>
  <c r="Y147" i="11"/>
  <c r="X147" i="11"/>
  <c r="W147" i="11"/>
  <c r="V147" i="11"/>
  <c r="M147" i="11"/>
  <c r="L147" i="11"/>
  <c r="N147" i="11"/>
  <c r="AB146" i="11"/>
  <c r="AA146" i="11"/>
  <c r="Z146" i="11"/>
  <c r="Y146" i="11"/>
  <c r="X146" i="11"/>
  <c r="W146" i="11"/>
  <c r="V146" i="11"/>
  <c r="M146" i="11"/>
  <c r="L146" i="11"/>
  <c r="N146" i="11"/>
  <c r="AB145" i="11"/>
  <c r="AA145" i="11"/>
  <c r="Z145" i="11"/>
  <c r="X145" i="11"/>
  <c r="W145" i="11"/>
  <c r="V145" i="11"/>
  <c r="M145" i="11"/>
  <c r="L145" i="11"/>
  <c r="N145" i="11"/>
  <c r="AB144" i="11"/>
  <c r="AA144" i="11"/>
  <c r="Z144" i="11"/>
  <c r="Y144" i="11"/>
  <c r="X144" i="11"/>
  <c r="AD144" i="11"/>
  <c r="AC144" i="11"/>
  <c r="W144" i="11"/>
  <c r="V144" i="11"/>
  <c r="M144" i="11"/>
  <c r="L144" i="11"/>
  <c r="AB143" i="11"/>
  <c r="AA143" i="11"/>
  <c r="Z143" i="11"/>
  <c r="Y143" i="11"/>
  <c r="X143" i="11"/>
  <c r="W143" i="11"/>
  <c r="V143" i="11"/>
  <c r="M143" i="11"/>
  <c r="L143" i="11"/>
  <c r="AB142" i="11"/>
  <c r="AA142" i="11"/>
  <c r="Z142" i="11"/>
  <c r="X142" i="11"/>
  <c r="AC142" i="11"/>
  <c r="W142" i="11"/>
  <c r="V142" i="11"/>
  <c r="M142" i="11"/>
  <c r="L142" i="11"/>
  <c r="AB141" i="11"/>
  <c r="AA141" i="11"/>
  <c r="Z141" i="11"/>
  <c r="Y141" i="11"/>
  <c r="X141" i="11"/>
  <c r="AC141" i="11"/>
  <c r="W141" i="11"/>
  <c r="V141" i="11"/>
  <c r="M141" i="11"/>
  <c r="L141" i="11"/>
  <c r="N141" i="11"/>
  <c r="O141" i="11"/>
  <c r="AB140" i="11"/>
  <c r="AA140" i="11"/>
  <c r="Z140" i="11"/>
  <c r="Y140" i="11"/>
  <c r="X140" i="11"/>
  <c r="W140" i="11"/>
  <c r="V140" i="11"/>
  <c r="M140" i="11"/>
  <c r="L140" i="11"/>
  <c r="N140" i="11"/>
  <c r="AB139" i="11"/>
  <c r="AA139" i="11"/>
  <c r="Z139" i="11"/>
  <c r="Y139" i="11"/>
  <c r="X139" i="11"/>
  <c r="AD139" i="11"/>
  <c r="AC139" i="11"/>
  <c r="W139" i="11"/>
  <c r="V139" i="11"/>
  <c r="M139" i="11"/>
  <c r="L139" i="11"/>
  <c r="AB138" i="11"/>
  <c r="AA138" i="11"/>
  <c r="Z138" i="11"/>
  <c r="X138" i="11"/>
  <c r="AC138" i="11"/>
  <c r="W138" i="11"/>
  <c r="V138" i="11"/>
  <c r="M138" i="11"/>
  <c r="L138" i="11"/>
  <c r="AB137" i="11"/>
  <c r="AA137" i="11"/>
  <c r="Z137" i="11"/>
  <c r="Y137" i="11"/>
  <c r="X137" i="11"/>
  <c r="AD137" i="11"/>
  <c r="W137" i="11"/>
  <c r="V137" i="11"/>
  <c r="M137" i="11"/>
  <c r="L137" i="11"/>
  <c r="N137" i="11"/>
  <c r="AB136" i="11"/>
  <c r="AA136" i="11"/>
  <c r="Z136" i="11"/>
  <c r="Y136" i="11"/>
  <c r="X136" i="11"/>
  <c r="W136" i="11"/>
  <c r="V136" i="11"/>
  <c r="M136" i="11"/>
  <c r="L136" i="11"/>
  <c r="N136" i="11"/>
  <c r="AB135" i="11"/>
  <c r="AA135" i="11"/>
  <c r="Z135" i="11"/>
  <c r="Y135" i="11"/>
  <c r="X135" i="11"/>
  <c r="W135" i="11"/>
  <c r="V135" i="11"/>
  <c r="M135" i="11"/>
  <c r="L135" i="11"/>
  <c r="X134" i="11"/>
  <c r="AC134" i="11"/>
  <c r="AB134" i="11"/>
  <c r="AA134" i="11"/>
  <c r="Z134" i="11"/>
  <c r="Y134" i="11"/>
  <c r="AD134" i="11"/>
  <c r="W134" i="11"/>
  <c r="V134" i="11"/>
  <c r="M134" i="11"/>
  <c r="L134" i="11"/>
  <c r="N134" i="11"/>
  <c r="O134" i="11"/>
  <c r="AB133" i="11"/>
  <c r="AA133" i="11"/>
  <c r="Z133" i="11"/>
  <c r="X133" i="11"/>
  <c r="AC133" i="11"/>
  <c r="W133" i="11"/>
  <c r="V133" i="11"/>
  <c r="M133" i="11"/>
  <c r="L133" i="11"/>
  <c r="N133" i="11"/>
  <c r="O133" i="11"/>
  <c r="X132" i="11"/>
  <c r="AC132" i="11"/>
  <c r="AB132" i="11"/>
  <c r="AA132" i="11"/>
  <c r="Z132" i="11"/>
  <c r="W132" i="11"/>
  <c r="V132" i="11"/>
  <c r="M132" i="11"/>
  <c r="L132" i="11"/>
  <c r="N132" i="11"/>
  <c r="O132" i="11"/>
  <c r="X131" i="11"/>
  <c r="AC131" i="11"/>
  <c r="AB131" i="11"/>
  <c r="AA131" i="11"/>
  <c r="Z131" i="11"/>
  <c r="W131" i="11"/>
  <c r="V131" i="11"/>
  <c r="M131" i="11"/>
  <c r="L131" i="11"/>
  <c r="N131" i="11"/>
  <c r="AB130" i="11"/>
  <c r="AA130" i="11"/>
  <c r="Z130" i="11"/>
  <c r="X130" i="11"/>
  <c r="AC130" i="11"/>
  <c r="W130" i="11"/>
  <c r="V130" i="11"/>
  <c r="M130" i="11"/>
  <c r="L130" i="11"/>
  <c r="N130" i="11"/>
  <c r="AB129" i="11"/>
  <c r="AA129" i="11"/>
  <c r="Z129" i="11"/>
  <c r="X129" i="11"/>
  <c r="AC129" i="11"/>
  <c r="W129" i="11"/>
  <c r="V129" i="11"/>
  <c r="M129" i="11"/>
  <c r="L129" i="11"/>
  <c r="AB128" i="11"/>
  <c r="AA128" i="11"/>
  <c r="Z128" i="11"/>
  <c r="X128" i="11"/>
  <c r="AC128" i="11"/>
  <c r="W128" i="11"/>
  <c r="V128" i="11"/>
  <c r="M128" i="11"/>
  <c r="L128" i="11"/>
  <c r="N128" i="11"/>
  <c r="O128" i="11"/>
  <c r="AB127" i="11"/>
  <c r="AA127" i="11"/>
  <c r="Z127" i="11"/>
  <c r="Y127" i="11"/>
  <c r="X127" i="11"/>
  <c r="AC127" i="11"/>
  <c r="W127" i="11"/>
  <c r="V127" i="11"/>
  <c r="M127" i="11"/>
  <c r="L127" i="11"/>
  <c r="Z126" i="11"/>
  <c r="AA126" i="11"/>
  <c r="AB126" i="11"/>
  <c r="Y126" i="11"/>
  <c r="X126" i="11"/>
  <c r="AD126" i="11"/>
  <c r="AC126" i="11"/>
  <c r="W126" i="11"/>
  <c r="V126" i="11"/>
  <c r="M126" i="11"/>
  <c r="L126" i="11"/>
  <c r="N126" i="11"/>
  <c r="O126" i="11"/>
  <c r="AB125" i="11"/>
  <c r="AA125" i="11"/>
  <c r="Z125" i="11"/>
  <c r="Y125" i="11"/>
  <c r="X125" i="11"/>
  <c r="AD125" i="11"/>
  <c r="AC125" i="11"/>
  <c r="W125" i="11"/>
  <c r="V125" i="11"/>
  <c r="M125" i="11"/>
  <c r="L125" i="11"/>
  <c r="N125" i="11"/>
  <c r="AB124" i="11"/>
  <c r="AA124" i="11"/>
  <c r="Z124" i="11"/>
  <c r="X124" i="11"/>
  <c r="AC124" i="11"/>
  <c r="W124" i="11"/>
  <c r="V124" i="11"/>
  <c r="M124" i="11"/>
  <c r="L124" i="11"/>
  <c r="Z123" i="11"/>
  <c r="AA123" i="11"/>
  <c r="AB123" i="11"/>
  <c r="Y123" i="11"/>
  <c r="X123" i="11"/>
  <c r="AD123" i="11"/>
  <c r="AC123" i="11"/>
  <c r="W123" i="11"/>
  <c r="V123" i="11"/>
  <c r="M123" i="11"/>
  <c r="L123" i="11"/>
  <c r="AB122" i="11"/>
  <c r="AA122" i="11"/>
  <c r="Z122" i="11"/>
  <c r="X122" i="11"/>
  <c r="AC122" i="11"/>
  <c r="W122" i="11"/>
  <c r="V122" i="11"/>
  <c r="M122" i="11"/>
  <c r="L122" i="11"/>
  <c r="AB121" i="11"/>
  <c r="AA121" i="11"/>
  <c r="Z121" i="11"/>
  <c r="X121" i="11"/>
  <c r="W121" i="11"/>
  <c r="V121" i="11"/>
  <c r="M121" i="11"/>
  <c r="L121" i="11"/>
  <c r="N121" i="11"/>
  <c r="O121" i="11"/>
  <c r="AB120" i="11"/>
  <c r="AA120" i="11"/>
  <c r="Z120" i="11"/>
  <c r="X120" i="11"/>
  <c r="W120" i="11"/>
  <c r="V120" i="11"/>
  <c r="M120" i="11"/>
  <c r="L120" i="11"/>
  <c r="N120" i="11"/>
  <c r="AB119" i="11"/>
  <c r="AA119" i="11"/>
  <c r="Z119" i="11"/>
  <c r="X119" i="11"/>
  <c r="AC119" i="11"/>
  <c r="W119" i="11"/>
  <c r="V119" i="11"/>
  <c r="M119" i="11"/>
  <c r="L119" i="11"/>
  <c r="N119" i="11"/>
  <c r="AB118" i="11"/>
  <c r="AA118" i="11"/>
  <c r="Z118" i="11"/>
  <c r="Y118" i="11"/>
  <c r="X118" i="11"/>
  <c r="AD118" i="11"/>
  <c r="AC118" i="11"/>
  <c r="W118" i="11"/>
  <c r="V118" i="11"/>
  <c r="M118" i="11"/>
  <c r="L118" i="11"/>
  <c r="N118" i="11"/>
  <c r="O118" i="11"/>
  <c r="AB117" i="11"/>
  <c r="AA117" i="11"/>
  <c r="Z117" i="11"/>
  <c r="X117" i="11"/>
  <c r="W117" i="11"/>
  <c r="V117" i="11"/>
  <c r="M117" i="11"/>
  <c r="L117" i="11"/>
  <c r="AB116" i="11"/>
  <c r="AA116" i="11"/>
  <c r="Z116" i="11"/>
  <c r="X116" i="11"/>
  <c r="AC116" i="11"/>
  <c r="W116" i="11"/>
  <c r="V116" i="11"/>
  <c r="M116" i="11"/>
  <c r="L116" i="11"/>
  <c r="AB115" i="11"/>
  <c r="AA115" i="11"/>
  <c r="Z115" i="11"/>
  <c r="X115" i="11"/>
  <c r="W115" i="11"/>
  <c r="V115" i="11"/>
  <c r="M115" i="11"/>
  <c r="L115" i="11"/>
  <c r="X114" i="11"/>
  <c r="AC114" i="11"/>
  <c r="AB114" i="11"/>
  <c r="AA114" i="11"/>
  <c r="Z114" i="11"/>
  <c r="W114" i="11"/>
  <c r="V114" i="11"/>
  <c r="M114" i="11"/>
  <c r="L114" i="11"/>
  <c r="N114" i="11"/>
  <c r="AB113" i="11"/>
  <c r="AA113" i="11"/>
  <c r="Z113" i="11"/>
  <c r="Y113" i="11"/>
  <c r="X113" i="11"/>
  <c r="AD113" i="11"/>
  <c r="W113" i="11"/>
  <c r="V113" i="11"/>
  <c r="M113" i="11"/>
  <c r="L113" i="11"/>
  <c r="N113" i="11"/>
  <c r="X112" i="11"/>
  <c r="AC112" i="11"/>
  <c r="AB112" i="11"/>
  <c r="AA112" i="11"/>
  <c r="Z112" i="11"/>
  <c r="W112" i="11"/>
  <c r="V112" i="11"/>
  <c r="M112" i="11"/>
  <c r="L112" i="11"/>
  <c r="N112" i="11"/>
  <c r="AB111" i="11"/>
  <c r="AA111" i="11"/>
  <c r="Z111" i="11"/>
  <c r="Y111" i="11"/>
  <c r="X111" i="11"/>
  <c r="AC111" i="11"/>
  <c r="W111" i="11"/>
  <c r="V111" i="11"/>
  <c r="M111" i="11"/>
  <c r="L111" i="11"/>
  <c r="X110" i="11"/>
  <c r="AC110" i="11"/>
  <c r="AB110" i="11"/>
  <c r="AA110" i="11"/>
  <c r="Z110" i="11"/>
  <c r="Y110" i="11"/>
  <c r="AD110" i="11"/>
  <c r="W110" i="11"/>
  <c r="V110" i="11"/>
  <c r="M110" i="11"/>
  <c r="L110" i="11"/>
  <c r="N110" i="11"/>
  <c r="AB109" i="11"/>
  <c r="AA109" i="11"/>
  <c r="Z109" i="11"/>
  <c r="X109" i="11"/>
  <c r="AC109" i="11"/>
  <c r="W109" i="11"/>
  <c r="V109" i="11"/>
  <c r="M109" i="11"/>
  <c r="L109" i="11"/>
  <c r="N109" i="11"/>
  <c r="O109" i="11"/>
  <c r="AB108" i="11"/>
  <c r="AA108" i="11"/>
  <c r="Z108" i="11"/>
  <c r="X108" i="11"/>
  <c r="AC108" i="11"/>
  <c r="W108" i="11"/>
  <c r="V108" i="11"/>
  <c r="M108" i="11"/>
  <c r="L108" i="11"/>
  <c r="N108" i="11"/>
  <c r="O108" i="11"/>
  <c r="AB107" i="11"/>
  <c r="AA107" i="11"/>
  <c r="Z107" i="11"/>
  <c r="Y107" i="11"/>
  <c r="X107" i="11"/>
  <c r="AD107" i="11"/>
  <c r="W107" i="11"/>
  <c r="V107" i="11"/>
  <c r="M107" i="11"/>
  <c r="L107" i="11"/>
  <c r="AB106" i="11"/>
  <c r="AA106" i="11"/>
  <c r="Z106" i="11"/>
  <c r="Y106" i="11"/>
  <c r="X106" i="11"/>
  <c r="AD106" i="11"/>
  <c r="AC106" i="11"/>
  <c r="W106" i="11"/>
  <c r="V106" i="11"/>
  <c r="M106" i="11"/>
  <c r="L106" i="11"/>
  <c r="AB105" i="11"/>
  <c r="Z105" i="11"/>
  <c r="AA105" i="11"/>
  <c r="Y105" i="11"/>
  <c r="X105" i="11"/>
  <c r="W105" i="11"/>
  <c r="V105" i="11"/>
  <c r="M105" i="11"/>
  <c r="L105" i="11"/>
  <c r="N105" i="11"/>
  <c r="AB104" i="11"/>
  <c r="AA104" i="11"/>
  <c r="Z104" i="11"/>
  <c r="X104" i="11"/>
  <c r="AC104" i="11"/>
  <c r="W104" i="11"/>
  <c r="V104" i="11"/>
  <c r="M104" i="11"/>
  <c r="L104" i="11"/>
  <c r="AB103" i="11"/>
  <c r="AA103" i="11"/>
  <c r="Z103" i="11"/>
  <c r="Y103" i="11"/>
  <c r="X103" i="11"/>
  <c r="W103" i="11"/>
  <c r="V103" i="11"/>
  <c r="M103" i="11"/>
  <c r="L103" i="11"/>
  <c r="AB102" i="11"/>
  <c r="AA102" i="11"/>
  <c r="Z102" i="11"/>
  <c r="Y102" i="11"/>
  <c r="X102" i="11"/>
  <c r="W102" i="11"/>
  <c r="V102" i="11"/>
  <c r="M102" i="11"/>
  <c r="L102" i="11"/>
  <c r="N102" i="11"/>
  <c r="AB101" i="11"/>
  <c r="AA101" i="11"/>
  <c r="Z101" i="11"/>
  <c r="X101" i="11"/>
  <c r="W101" i="11"/>
  <c r="V101" i="11"/>
  <c r="M101" i="11"/>
  <c r="L101" i="11"/>
  <c r="N101" i="11"/>
  <c r="O101" i="11"/>
  <c r="AB100" i="11"/>
  <c r="AA100" i="11"/>
  <c r="Z100" i="11"/>
  <c r="Y100" i="11"/>
  <c r="X100" i="11"/>
  <c r="AC100" i="11"/>
  <c r="W100" i="11"/>
  <c r="V100" i="11"/>
  <c r="M100" i="11"/>
  <c r="L100" i="11"/>
  <c r="AM15" i="11"/>
  <c r="X99" i="11"/>
  <c r="AM12" i="11"/>
  <c r="AF99" i="11"/>
  <c r="AC99" i="11"/>
  <c r="AB99" i="11"/>
  <c r="AA99" i="11"/>
  <c r="Z99" i="11"/>
  <c r="W99" i="11"/>
  <c r="V99" i="11"/>
  <c r="M99" i="11"/>
  <c r="L99" i="11"/>
  <c r="AB98" i="11"/>
  <c r="AA98" i="11"/>
  <c r="Z98" i="11"/>
  <c r="X98" i="11"/>
  <c r="AH98" i="11"/>
  <c r="W98" i="11"/>
  <c r="V98" i="11"/>
  <c r="M98" i="11"/>
  <c r="L98" i="11"/>
  <c r="N98" i="11"/>
  <c r="O98" i="11"/>
  <c r="X97" i="11"/>
  <c r="AC97" i="11"/>
  <c r="AB97" i="11"/>
  <c r="AA97" i="11"/>
  <c r="Z97" i="11"/>
  <c r="W97" i="11"/>
  <c r="V97" i="11"/>
  <c r="M97" i="11"/>
  <c r="L97" i="11"/>
  <c r="X96" i="11"/>
  <c r="AH96" i="11"/>
  <c r="AC96" i="11"/>
  <c r="AB96" i="11"/>
  <c r="AA96" i="11"/>
  <c r="Z96" i="11"/>
  <c r="W96" i="11"/>
  <c r="V96" i="11"/>
  <c r="M96" i="11"/>
  <c r="L96" i="11"/>
  <c r="N96" i="11"/>
  <c r="O96" i="11"/>
  <c r="AB95" i="11"/>
  <c r="AA95" i="11"/>
  <c r="Z95" i="11"/>
  <c r="X95" i="11"/>
  <c r="AC95" i="11"/>
  <c r="W95" i="11"/>
  <c r="V95" i="11"/>
  <c r="M95" i="11"/>
  <c r="L95" i="11"/>
  <c r="N95" i="11"/>
  <c r="O95" i="11"/>
  <c r="AB94" i="11"/>
  <c r="AA94" i="11"/>
  <c r="Z94" i="11"/>
  <c r="X94" i="11"/>
  <c r="AC94" i="11"/>
  <c r="W94" i="11"/>
  <c r="V94" i="11"/>
  <c r="M94" i="11"/>
  <c r="L94" i="11"/>
  <c r="N94" i="11"/>
  <c r="O94" i="11"/>
  <c r="X93" i="11"/>
  <c r="AC93" i="11"/>
  <c r="AB93" i="11"/>
  <c r="AA93" i="11"/>
  <c r="Z93" i="11"/>
  <c r="W93" i="11"/>
  <c r="V93" i="11"/>
  <c r="M93" i="11"/>
  <c r="L93" i="11"/>
  <c r="N93" i="11"/>
  <c r="AB92" i="11"/>
  <c r="AA92" i="11"/>
  <c r="Z92" i="11"/>
  <c r="Y92" i="11"/>
  <c r="X92" i="11"/>
  <c r="AD92" i="11"/>
  <c r="AC92" i="11"/>
  <c r="W92" i="11"/>
  <c r="V92" i="11"/>
  <c r="M92" i="11"/>
  <c r="L92" i="11"/>
  <c r="N92" i="11"/>
  <c r="O92" i="11"/>
  <c r="AB91" i="11"/>
  <c r="AA91" i="11"/>
  <c r="Z91" i="11"/>
  <c r="X91" i="11"/>
  <c r="AC91" i="11"/>
  <c r="W91" i="11"/>
  <c r="V91" i="11"/>
  <c r="M91" i="11"/>
  <c r="L91" i="11"/>
  <c r="AB90" i="11"/>
  <c r="AA90" i="11"/>
  <c r="Z90" i="11"/>
  <c r="X90" i="11"/>
  <c r="AC90" i="11"/>
  <c r="W90" i="11"/>
  <c r="V90" i="11"/>
  <c r="M90" i="11"/>
  <c r="L90" i="11"/>
  <c r="N90" i="11"/>
  <c r="O90" i="11"/>
  <c r="AB89" i="11"/>
  <c r="AA89" i="11"/>
  <c r="Z89" i="11"/>
  <c r="Y89" i="11"/>
  <c r="X89" i="11"/>
  <c r="AD89" i="11"/>
  <c r="W89" i="11"/>
  <c r="V89" i="11"/>
  <c r="M89" i="11"/>
  <c r="L89" i="11"/>
  <c r="N89" i="11"/>
  <c r="O89" i="11"/>
  <c r="X88" i="11"/>
  <c r="AC88" i="11"/>
  <c r="AB88" i="11"/>
  <c r="Z88" i="11"/>
  <c r="AA88" i="11"/>
  <c r="Y88" i="11"/>
  <c r="AD88" i="11"/>
  <c r="W88" i="11"/>
  <c r="V88" i="11"/>
  <c r="M88" i="11"/>
  <c r="L88" i="11"/>
  <c r="N88" i="11"/>
  <c r="AB87" i="11"/>
  <c r="AA87" i="11"/>
  <c r="Z87" i="11"/>
  <c r="X87" i="11"/>
  <c r="AC87" i="11"/>
  <c r="W87" i="11"/>
  <c r="V87" i="11"/>
  <c r="M87" i="11"/>
  <c r="L87" i="11"/>
  <c r="N87" i="11"/>
  <c r="AB86" i="11"/>
  <c r="AA86" i="11"/>
  <c r="Z86" i="11"/>
  <c r="X86" i="11"/>
  <c r="W86" i="11"/>
  <c r="V86" i="11"/>
  <c r="M86" i="11"/>
  <c r="L86" i="11"/>
  <c r="N86" i="11"/>
  <c r="AB85" i="11"/>
  <c r="AA85" i="11"/>
  <c r="Z85" i="11"/>
  <c r="Y85" i="11"/>
  <c r="X85" i="11"/>
  <c r="AC85" i="11"/>
  <c r="W85" i="11"/>
  <c r="V85" i="11"/>
  <c r="M85" i="11"/>
  <c r="L85" i="11"/>
  <c r="N85" i="11"/>
  <c r="AB84" i="11"/>
  <c r="AA84" i="11"/>
  <c r="Z84" i="11"/>
  <c r="X84" i="11"/>
  <c r="AC84" i="11"/>
  <c r="W84" i="11"/>
  <c r="V84" i="11"/>
  <c r="M84" i="11"/>
  <c r="L84" i="11"/>
  <c r="N84" i="11"/>
  <c r="O84" i="11"/>
  <c r="X83" i="11"/>
  <c r="AC83" i="11"/>
  <c r="AB83" i="11"/>
  <c r="AA83" i="11"/>
  <c r="Z83" i="11"/>
  <c r="W83" i="11"/>
  <c r="V83" i="11"/>
  <c r="M83" i="11"/>
  <c r="L83" i="11"/>
  <c r="N83" i="11"/>
  <c r="O83" i="11"/>
  <c r="AB82" i="11"/>
  <c r="Z82" i="11"/>
  <c r="AA82" i="11"/>
  <c r="Y82" i="11"/>
  <c r="X82" i="11"/>
  <c r="AC82" i="11"/>
  <c r="W82" i="11"/>
  <c r="V82" i="11"/>
  <c r="M82" i="11"/>
  <c r="L82" i="11"/>
  <c r="N82" i="11"/>
  <c r="AB81" i="11"/>
  <c r="AA81" i="11"/>
  <c r="Z81" i="11"/>
  <c r="Y81" i="11"/>
  <c r="X81" i="11"/>
  <c r="W81" i="11"/>
  <c r="V81" i="11"/>
  <c r="M81" i="11"/>
  <c r="L81" i="11"/>
  <c r="AB80" i="11"/>
  <c r="AA80" i="11"/>
  <c r="Z80" i="11"/>
  <c r="Y80" i="11"/>
  <c r="X80" i="11"/>
  <c r="W80" i="11"/>
  <c r="V80" i="11"/>
  <c r="M80" i="11"/>
  <c r="L80" i="11"/>
  <c r="AB79" i="11"/>
  <c r="AA79" i="11"/>
  <c r="Z79" i="11"/>
  <c r="Y79" i="11"/>
  <c r="X79" i="11"/>
  <c r="AD79" i="11"/>
  <c r="W79" i="11"/>
  <c r="V79" i="11"/>
  <c r="M79" i="11"/>
  <c r="L79" i="11"/>
  <c r="AB78" i="11"/>
  <c r="AA78" i="11"/>
  <c r="Z78" i="11"/>
  <c r="Y78" i="11"/>
  <c r="X78" i="11"/>
  <c r="W78" i="11"/>
  <c r="V78" i="11"/>
  <c r="M78" i="11"/>
  <c r="L78" i="11"/>
  <c r="AB77" i="11"/>
  <c r="AA77" i="11"/>
  <c r="Z77" i="11"/>
  <c r="Y77" i="11"/>
  <c r="X77" i="11"/>
  <c r="AD77" i="11"/>
  <c r="AC77" i="11"/>
  <c r="W77" i="11"/>
  <c r="V77" i="11"/>
  <c r="M77" i="11"/>
  <c r="L77" i="11"/>
  <c r="N77" i="11"/>
  <c r="AB76" i="11"/>
  <c r="AA76" i="11"/>
  <c r="Z76" i="11"/>
  <c r="Y76" i="11"/>
  <c r="X76" i="11"/>
  <c r="AD76" i="11"/>
  <c r="W76" i="11"/>
  <c r="V76" i="11"/>
  <c r="M76" i="11"/>
  <c r="L76" i="11"/>
  <c r="AB75" i="11"/>
  <c r="AA75" i="11"/>
  <c r="Z75" i="11"/>
  <c r="X75" i="11"/>
  <c r="AC75" i="11"/>
  <c r="W75" i="11"/>
  <c r="V75" i="11"/>
  <c r="M75" i="11"/>
  <c r="L75" i="11"/>
  <c r="N75" i="11"/>
  <c r="O75" i="11"/>
  <c r="AB74" i="11"/>
  <c r="AA74" i="11"/>
  <c r="Z74" i="11"/>
  <c r="X74" i="11"/>
  <c r="W74" i="11"/>
  <c r="V74" i="11"/>
  <c r="M74" i="11"/>
  <c r="L74" i="11"/>
  <c r="N74" i="11"/>
  <c r="AB73" i="11"/>
  <c r="AA73" i="11"/>
  <c r="Z73" i="11"/>
  <c r="Y73" i="11"/>
  <c r="X73" i="11"/>
  <c r="AD73" i="11"/>
  <c r="AC73" i="11"/>
  <c r="W73" i="11"/>
  <c r="V73" i="11"/>
  <c r="M73" i="11"/>
  <c r="L73" i="11"/>
  <c r="AB72" i="11"/>
  <c r="AA72" i="11"/>
  <c r="Z72" i="11"/>
  <c r="Y72" i="11"/>
  <c r="X72" i="11"/>
  <c r="AD72" i="11"/>
  <c r="W72" i="11"/>
  <c r="V72" i="11"/>
  <c r="M72" i="11"/>
  <c r="L72" i="11"/>
  <c r="N72" i="11"/>
  <c r="O72" i="11"/>
  <c r="X71" i="11"/>
  <c r="AC71" i="11"/>
  <c r="AB71" i="11"/>
  <c r="AA71" i="11"/>
  <c r="Z71" i="11"/>
  <c r="W71" i="11"/>
  <c r="V71" i="11"/>
  <c r="M71" i="11"/>
  <c r="L71" i="11"/>
  <c r="N71" i="11"/>
  <c r="AB70" i="11"/>
  <c r="AA70" i="11"/>
  <c r="Z70" i="11"/>
  <c r="X70" i="11"/>
  <c r="AC70" i="11"/>
  <c r="W70" i="11"/>
  <c r="V70" i="11"/>
  <c r="M70" i="11"/>
  <c r="L70" i="11"/>
  <c r="N70" i="11"/>
  <c r="X69" i="11"/>
  <c r="AC69" i="11"/>
  <c r="AB69" i="11"/>
  <c r="AA69" i="11"/>
  <c r="Z69" i="11"/>
  <c r="W69" i="11"/>
  <c r="V69" i="11"/>
  <c r="M69" i="11"/>
  <c r="L69" i="11"/>
  <c r="N69" i="11"/>
  <c r="AB68" i="11"/>
  <c r="AA68" i="11"/>
  <c r="Z68" i="11"/>
  <c r="Y68" i="11"/>
  <c r="X68" i="11"/>
  <c r="W68" i="11"/>
  <c r="V68" i="11"/>
  <c r="M68" i="11"/>
  <c r="L68" i="11"/>
  <c r="N68" i="11"/>
  <c r="O68" i="11"/>
  <c r="AB67" i="11"/>
  <c r="AA67" i="11"/>
  <c r="Z67" i="11"/>
  <c r="Y67" i="11"/>
  <c r="X67" i="11"/>
  <c r="AC67" i="11"/>
  <c r="W67" i="11"/>
  <c r="V67" i="11"/>
  <c r="M67" i="11"/>
  <c r="L67" i="11"/>
  <c r="AB66" i="11"/>
  <c r="AA66" i="11"/>
  <c r="Z66" i="11"/>
  <c r="X66" i="11"/>
  <c r="AC66" i="11"/>
  <c r="W66" i="11"/>
  <c r="V66" i="11"/>
  <c r="M66" i="11"/>
  <c r="L66" i="11"/>
  <c r="AB65" i="11"/>
  <c r="AA65" i="11"/>
  <c r="Z65" i="11"/>
  <c r="Y65" i="11"/>
  <c r="X65" i="11"/>
  <c r="AD65" i="11"/>
  <c r="AC65" i="11"/>
  <c r="W65" i="11"/>
  <c r="V65" i="11"/>
  <c r="M65" i="11"/>
  <c r="L65" i="11"/>
  <c r="N65" i="11"/>
  <c r="O65" i="11"/>
  <c r="AB64" i="11"/>
  <c r="AA64" i="11"/>
  <c r="Z64" i="11"/>
  <c r="Y64" i="11"/>
  <c r="X64" i="11"/>
  <c r="AH64" i="11"/>
  <c r="W64" i="11"/>
  <c r="V64" i="11"/>
  <c r="M64" i="11"/>
  <c r="L64" i="11"/>
  <c r="AB63" i="11"/>
  <c r="AA63" i="11"/>
  <c r="Z63" i="11"/>
  <c r="X63" i="11"/>
  <c r="AC63" i="11"/>
  <c r="W63" i="11"/>
  <c r="V63" i="11"/>
  <c r="M63" i="11"/>
  <c r="L63" i="11"/>
  <c r="N63" i="11"/>
  <c r="X62" i="11"/>
  <c r="AH62" i="11"/>
  <c r="AC62" i="11"/>
  <c r="AB62" i="11"/>
  <c r="AA62" i="11"/>
  <c r="Z62" i="11"/>
  <c r="W62" i="11"/>
  <c r="V62" i="11"/>
  <c r="M62" i="11"/>
  <c r="L62" i="11"/>
  <c r="N62" i="11"/>
  <c r="AB61" i="11"/>
  <c r="AA61" i="11"/>
  <c r="Z61" i="11"/>
  <c r="X61" i="11"/>
  <c r="W61" i="11"/>
  <c r="V61" i="11"/>
  <c r="M61" i="11"/>
  <c r="L61" i="11"/>
  <c r="N61" i="11"/>
  <c r="O61" i="11"/>
  <c r="AB60" i="11"/>
  <c r="AA60" i="11"/>
  <c r="Z60" i="11"/>
  <c r="Y60" i="11"/>
  <c r="X60" i="11"/>
  <c r="AD60" i="11"/>
  <c r="AC60" i="11"/>
  <c r="W60" i="11"/>
  <c r="V60" i="11"/>
  <c r="M60" i="11"/>
  <c r="L60" i="11"/>
  <c r="N60" i="11"/>
  <c r="X59" i="11"/>
  <c r="AC59" i="11"/>
  <c r="AB59" i="11"/>
  <c r="AA59" i="11"/>
  <c r="Z59" i="11"/>
  <c r="Y59" i="11"/>
  <c r="AD59" i="11"/>
  <c r="W59" i="11"/>
  <c r="V59" i="11"/>
  <c r="M59" i="11"/>
  <c r="L59" i="11"/>
  <c r="AB58" i="11"/>
  <c r="AA58" i="11"/>
  <c r="Z58" i="11"/>
  <c r="X58" i="11"/>
  <c r="AC58" i="11"/>
  <c r="W58" i="11"/>
  <c r="V58" i="11"/>
  <c r="M58" i="11"/>
  <c r="L58" i="11"/>
  <c r="AB57" i="11"/>
  <c r="AA57" i="11"/>
  <c r="Z57" i="11"/>
  <c r="Y57" i="11"/>
  <c r="X57" i="11"/>
  <c r="W57" i="11"/>
  <c r="V57" i="11"/>
  <c r="M57" i="11"/>
  <c r="L57" i="11"/>
  <c r="N57" i="11"/>
  <c r="O57" i="11"/>
  <c r="X56" i="11"/>
  <c r="AC56" i="11"/>
  <c r="AB56" i="11"/>
  <c r="AA56" i="11"/>
  <c r="Z56" i="11"/>
  <c r="W56" i="11"/>
  <c r="V56" i="11"/>
  <c r="M56" i="11"/>
  <c r="L56" i="11"/>
  <c r="N56" i="11"/>
  <c r="AB55" i="11"/>
  <c r="AA55" i="11"/>
  <c r="Z55" i="11"/>
  <c r="Y55" i="11"/>
  <c r="X55" i="11"/>
  <c r="W55" i="11"/>
  <c r="V55" i="11"/>
  <c r="M55" i="11"/>
  <c r="L55" i="11"/>
  <c r="X54" i="11"/>
  <c r="AC54" i="11"/>
  <c r="AB54" i="11"/>
  <c r="AA54" i="11"/>
  <c r="Z54" i="11"/>
  <c r="W54" i="11"/>
  <c r="V54" i="11"/>
  <c r="M54" i="11"/>
  <c r="L54" i="11"/>
  <c r="AB53" i="11"/>
  <c r="AA53" i="11"/>
  <c r="Z53" i="11"/>
  <c r="Y53" i="11"/>
  <c r="X53" i="11"/>
  <c r="AC53" i="11"/>
  <c r="W53" i="11"/>
  <c r="V53" i="11"/>
  <c r="M53" i="11"/>
  <c r="L53" i="11"/>
  <c r="N53" i="11"/>
  <c r="O53" i="11"/>
  <c r="AB52" i="11"/>
  <c r="AA52" i="11"/>
  <c r="Z52" i="11"/>
  <c r="Y52" i="11"/>
  <c r="X52" i="11"/>
  <c r="AC52" i="11"/>
  <c r="W52" i="11"/>
  <c r="V52" i="11"/>
  <c r="M52" i="11"/>
  <c r="L52" i="11"/>
  <c r="X51" i="11"/>
  <c r="AC51" i="11"/>
  <c r="AB51" i="11"/>
  <c r="AA51" i="11"/>
  <c r="Z51" i="11"/>
  <c r="Y51" i="11"/>
  <c r="AD51" i="11"/>
  <c r="W51" i="11"/>
  <c r="V51" i="11"/>
  <c r="M51" i="11"/>
  <c r="L51" i="11"/>
  <c r="AB50" i="11"/>
  <c r="AA50" i="11"/>
  <c r="Z50" i="11"/>
  <c r="Y50" i="11"/>
  <c r="X50" i="11"/>
  <c r="W50" i="11"/>
  <c r="V50" i="11"/>
  <c r="M50" i="11"/>
  <c r="L50" i="11"/>
  <c r="N50" i="11"/>
  <c r="O50" i="11"/>
  <c r="AB49" i="11"/>
  <c r="AA49" i="11"/>
  <c r="Z49" i="11"/>
  <c r="X49" i="11"/>
  <c r="W49" i="11"/>
  <c r="V49" i="11"/>
  <c r="M49" i="11"/>
  <c r="L49" i="11"/>
  <c r="X48" i="11"/>
  <c r="AK48" i="11"/>
  <c r="AH48" i="11"/>
  <c r="AB48" i="11"/>
  <c r="AA48" i="11"/>
  <c r="Z48" i="11"/>
  <c r="Y48" i="11"/>
  <c r="AC48" i="11"/>
  <c r="W48" i="11"/>
  <c r="V48" i="11"/>
  <c r="M48" i="11"/>
  <c r="L48" i="11"/>
  <c r="AB47" i="11"/>
  <c r="AA47" i="11"/>
  <c r="Z47" i="11"/>
  <c r="Y47" i="11"/>
  <c r="X47" i="11"/>
  <c r="AD47" i="11"/>
  <c r="W47" i="11"/>
  <c r="V47" i="11"/>
  <c r="M47" i="11"/>
  <c r="L47" i="11"/>
  <c r="X46" i="11"/>
  <c r="AC46" i="11"/>
  <c r="AB46" i="11"/>
  <c r="AA46" i="11"/>
  <c r="Z46" i="11"/>
  <c r="Y46" i="11"/>
  <c r="AD46" i="11"/>
  <c r="AH46" i="11"/>
  <c r="W46" i="11"/>
  <c r="V46" i="11"/>
  <c r="M46" i="11"/>
  <c r="L46" i="11"/>
  <c r="X45" i="11"/>
  <c r="AH45" i="11"/>
  <c r="AC45" i="11"/>
  <c r="AB45" i="11"/>
  <c r="AA45" i="11"/>
  <c r="Z45" i="11"/>
  <c r="W45" i="11"/>
  <c r="V45" i="11"/>
  <c r="M45" i="11"/>
  <c r="L45" i="11"/>
  <c r="N45" i="11"/>
  <c r="O45" i="11"/>
  <c r="AB44" i="11"/>
  <c r="AA44" i="11"/>
  <c r="Z44" i="11"/>
  <c r="Y44" i="11"/>
  <c r="X44" i="11"/>
  <c r="W44" i="11"/>
  <c r="V44" i="11"/>
  <c r="M44" i="11"/>
  <c r="L44" i="11"/>
  <c r="AB43" i="11"/>
  <c r="AA43" i="11"/>
  <c r="Z43" i="11"/>
  <c r="Y43" i="11"/>
  <c r="X43" i="11"/>
  <c r="W43" i="11"/>
  <c r="V43" i="11"/>
  <c r="M43" i="11"/>
  <c r="L43" i="11"/>
  <c r="X42" i="11"/>
  <c r="AK42" i="11"/>
  <c r="AJ42" i="11"/>
  <c r="AB42" i="11"/>
  <c r="AA42" i="11"/>
  <c r="Z42" i="11"/>
  <c r="Y42" i="11"/>
  <c r="AD42" i="11"/>
  <c r="AC42" i="11"/>
  <c r="W42" i="11"/>
  <c r="V42" i="11"/>
  <c r="M42" i="11"/>
  <c r="L42" i="11"/>
  <c r="N42" i="11"/>
  <c r="O42" i="11"/>
  <c r="AB41" i="11"/>
  <c r="AA41" i="11"/>
  <c r="Z41" i="11"/>
  <c r="Y41" i="11"/>
  <c r="X41" i="11"/>
  <c r="AD41" i="11"/>
  <c r="AC41" i="11"/>
  <c r="W41" i="11"/>
  <c r="V41" i="11"/>
  <c r="M41" i="11"/>
  <c r="L41" i="11"/>
  <c r="N41" i="11"/>
  <c r="O41" i="11"/>
  <c r="AB40" i="11"/>
  <c r="AA40" i="11"/>
  <c r="Z40" i="11"/>
  <c r="X40" i="11"/>
  <c r="W40" i="11"/>
  <c r="V40" i="11"/>
  <c r="M40" i="11"/>
  <c r="L40" i="11"/>
  <c r="N40" i="11"/>
  <c r="X39" i="11"/>
  <c r="AK39" i="11"/>
  <c r="AJ39" i="11"/>
  <c r="AB39" i="11"/>
  <c r="AA39" i="11"/>
  <c r="Z39" i="11"/>
  <c r="Y39" i="11"/>
  <c r="AD39" i="11"/>
  <c r="W39" i="11"/>
  <c r="V39" i="11"/>
  <c r="M39" i="11"/>
  <c r="L39" i="11"/>
  <c r="AB38" i="11"/>
  <c r="AA38" i="11"/>
  <c r="Z38" i="11"/>
  <c r="Y38" i="11"/>
  <c r="X38" i="11"/>
  <c r="W38" i="11"/>
  <c r="V38" i="11"/>
  <c r="M38" i="11"/>
  <c r="L38" i="11"/>
  <c r="N38" i="11"/>
  <c r="AB37" i="11"/>
  <c r="AA37" i="11"/>
  <c r="Z37" i="11"/>
  <c r="Y37" i="11"/>
  <c r="X37" i="11"/>
  <c r="AD37" i="11"/>
  <c r="W37" i="11"/>
  <c r="V37" i="11"/>
  <c r="M37" i="11"/>
  <c r="L37" i="11"/>
  <c r="N37" i="11"/>
  <c r="X36" i="11"/>
  <c r="AK36" i="11"/>
  <c r="AC36" i="11"/>
  <c r="AB36" i="11"/>
  <c r="AA36" i="11"/>
  <c r="Z36" i="11"/>
  <c r="Y36" i="11"/>
  <c r="AD36" i="11"/>
  <c r="W36" i="11"/>
  <c r="V36" i="11"/>
  <c r="M36" i="11"/>
  <c r="L36" i="11"/>
  <c r="N36" i="11"/>
  <c r="AB35" i="11"/>
  <c r="AA35" i="11"/>
  <c r="Z35" i="11"/>
  <c r="X35" i="11"/>
  <c r="W35" i="11"/>
  <c r="V35" i="11"/>
  <c r="M35" i="11"/>
  <c r="L35" i="11"/>
  <c r="N35" i="11"/>
  <c r="AB34" i="11"/>
  <c r="AA34" i="11"/>
  <c r="Z34" i="11"/>
  <c r="X34" i="11"/>
  <c r="W34" i="11"/>
  <c r="V34" i="11"/>
  <c r="M34" i="11"/>
  <c r="L34" i="11"/>
  <c r="X33" i="11"/>
  <c r="AK33" i="11"/>
  <c r="AJ33" i="11"/>
  <c r="AB33" i="11"/>
  <c r="AA33" i="11"/>
  <c r="Z33" i="11"/>
  <c r="Y33" i="11"/>
  <c r="AD33" i="11"/>
  <c r="W33" i="11"/>
  <c r="V33" i="11"/>
  <c r="M33" i="11"/>
  <c r="L33" i="11"/>
  <c r="AB32" i="11"/>
  <c r="AA32" i="11"/>
  <c r="Z32" i="11"/>
  <c r="Y32" i="11"/>
  <c r="X32" i="11"/>
  <c r="AD32" i="11"/>
  <c r="AC32" i="11"/>
  <c r="W32" i="11"/>
  <c r="V32" i="11"/>
  <c r="M32" i="11"/>
  <c r="L32" i="11"/>
  <c r="N32" i="11"/>
  <c r="O32" i="11"/>
  <c r="AB31" i="11"/>
  <c r="AA31" i="11"/>
  <c r="Z31" i="11"/>
  <c r="X31" i="11"/>
  <c r="AC31" i="11"/>
  <c r="W31" i="11"/>
  <c r="V31" i="11"/>
  <c r="M31" i="11"/>
  <c r="L31" i="11"/>
  <c r="N31" i="11"/>
  <c r="O31" i="11"/>
  <c r="AB30" i="11"/>
  <c r="AA30" i="11"/>
  <c r="Z30" i="11"/>
  <c r="X30" i="11"/>
  <c r="AH30" i="11"/>
  <c r="W30" i="11"/>
  <c r="V30" i="11"/>
  <c r="M30" i="11"/>
  <c r="L30" i="11"/>
  <c r="N30" i="11"/>
  <c r="AB29" i="11"/>
  <c r="AA29" i="11"/>
  <c r="Z29" i="11"/>
  <c r="X29" i="11"/>
  <c r="AC29" i="11"/>
  <c r="W29" i="11"/>
  <c r="V29" i="11"/>
  <c r="M29" i="11"/>
  <c r="L29" i="11"/>
  <c r="N29" i="11"/>
  <c r="O29" i="11"/>
  <c r="X28" i="11"/>
  <c r="AC28" i="11"/>
  <c r="AB28" i="11"/>
  <c r="AA28" i="11"/>
  <c r="Z28" i="11"/>
  <c r="Y28" i="11"/>
  <c r="AD28" i="11"/>
  <c r="W28" i="11"/>
  <c r="V28" i="11"/>
  <c r="M28" i="11"/>
  <c r="L28" i="11"/>
  <c r="AB27" i="11"/>
  <c r="AA27" i="11"/>
  <c r="Z27" i="11"/>
  <c r="Y27" i="11"/>
  <c r="X27" i="11"/>
  <c r="W27" i="11"/>
  <c r="V27" i="11"/>
  <c r="M27" i="11"/>
  <c r="L27" i="11"/>
  <c r="AB26" i="11"/>
  <c r="AA26" i="11"/>
  <c r="Z26" i="11"/>
  <c r="Y26" i="11"/>
  <c r="X26" i="11"/>
  <c r="W26" i="11"/>
  <c r="V26" i="11"/>
  <c r="M26" i="11"/>
  <c r="L26" i="11"/>
  <c r="N26" i="11"/>
  <c r="AB25" i="11"/>
  <c r="AA25" i="11"/>
  <c r="Z25" i="11"/>
  <c r="Y25" i="11"/>
  <c r="X25" i="11"/>
  <c r="AC25" i="11"/>
  <c r="W25" i="11"/>
  <c r="W21" i="11"/>
  <c r="W22" i="11"/>
  <c r="W23" i="11"/>
  <c r="W24" i="11"/>
  <c r="W17" i="11"/>
  <c r="V25" i="11"/>
  <c r="M25" i="11"/>
  <c r="L25" i="11"/>
  <c r="AB24" i="11"/>
  <c r="AA24" i="11"/>
  <c r="Z24" i="11"/>
  <c r="X24" i="11"/>
  <c r="V24" i="11"/>
  <c r="M24" i="11"/>
  <c r="L24" i="11"/>
  <c r="X23" i="11"/>
  <c r="AC23" i="11"/>
  <c r="AB23" i="11"/>
  <c r="AA23" i="11"/>
  <c r="Z23" i="11"/>
  <c r="V23" i="11"/>
  <c r="M23" i="11"/>
  <c r="L23" i="11"/>
  <c r="AB22" i="11"/>
  <c r="AA22" i="11"/>
  <c r="Z22" i="11"/>
  <c r="X22" i="11"/>
  <c r="AC22" i="11"/>
  <c r="V22" i="11"/>
  <c r="M22" i="11"/>
  <c r="L22" i="11"/>
  <c r="N22" i="11"/>
  <c r="AB21" i="11"/>
  <c r="AA21" i="11"/>
  <c r="Z21" i="11"/>
  <c r="Y21" i="11"/>
  <c r="X21" i="11"/>
  <c r="V21" i="11"/>
  <c r="M21" i="11"/>
  <c r="L21" i="11"/>
  <c r="N21" i="11"/>
  <c r="AM16" i="11"/>
  <c r="AJ58" i="11"/>
  <c r="AM13" i="11"/>
  <c r="AI161" i="11"/>
  <c r="AD38" i="11"/>
  <c r="AD141" i="11"/>
  <c r="Y31" i="11"/>
  <c r="AD31" i="11"/>
  <c r="AJ35" i="11"/>
  <c r="N46" i="11"/>
  <c r="AF56" i="11"/>
  <c r="Y61" i="11"/>
  <c r="AD61" i="11"/>
  <c r="Y101" i="11"/>
  <c r="AD101" i="11"/>
  <c r="N115" i="11"/>
  <c r="O115" i="11"/>
  <c r="AF115" i="11"/>
  <c r="P115" i="11"/>
  <c r="Q115" i="11"/>
  <c r="N117" i="11"/>
  <c r="O117" i="11"/>
  <c r="N124" i="11"/>
  <c r="O124" i="11"/>
  <c r="Y145" i="11"/>
  <c r="AD145" i="11"/>
  <c r="Y158" i="11"/>
  <c r="AD158" i="11"/>
  <c r="AD85" i="11"/>
  <c r="AC64" i="11"/>
  <c r="N79" i="11"/>
  <c r="Y95" i="11"/>
  <c r="AD95" i="11"/>
  <c r="AI106" i="11"/>
  <c r="Y120" i="11"/>
  <c r="Y122" i="11"/>
  <c r="AD122" i="11"/>
  <c r="N174" i="11"/>
  <c r="AK23" i="11"/>
  <c r="AH71" i="11"/>
  <c r="AD162" i="11"/>
  <c r="AD52" i="11"/>
  <c r="AK53" i="11"/>
  <c r="AD82" i="11"/>
  <c r="AC98" i="11"/>
  <c r="AJ106" i="11"/>
  <c r="AH134" i="11"/>
  <c r="AJ38" i="11"/>
  <c r="Y22" i="11"/>
  <c r="AD22" i="11"/>
  <c r="AF31" i="11"/>
  <c r="S31" i="11"/>
  <c r="AK32" i="11"/>
  <c r="AK38" i="11"/>
  <c r="AK40" i="11"/>
  <c r="N54" i="11"/>
  <c r="Y63" i="11"/>
  <c r="AD63" i="11"/>
  <c r="AI64" i="11"/>
  <c r="AF67" i="11"/>
  <c r="S67" i="11"/>
  <c r="AF70" i="11"/>
  <c r="S70" i="11"/>
  <c r="N81" i="11"/>
  <c r="O81" i="11"/>
  <c r="AF81" i="11"/>
  <c r="P81" i="11"/>
  <c r="Q81" i="11"/>
  <c r="AD100" i="11"/>
  <c r="AD127" i="11"/>
  <c r="N129" i="11"/>
  <c r="O129" i="11"/>
  <c r="N151" i="11"/>
  <c r="O151" i="11"/>
  <c r="N161" i="11"/>
  <c r="AD53" i="11"/>
  <c r="AH61" i="11"/>
  <c r="N97" i="11"/>
  <c r="O97" i="11"/>
  <c r="Y40" i="11"/>
  <c r="Y49" i="11"/>
  <c r="AD49" i="11"/>
  <c r="AF58" i="11"/>
  <c r="AJ64" i="11"/>
  <c r="Y66" i="11"/>
  <c r="AD66" i="11"/>
  <c r="AH67" i="11"/>
  <c r="AF73" i="11"/>
  <c r="S73" i="11"/>
  <c r="Y75" i="11"/>
  <c r="AD75" i="11"/>
  <c r="AK82" i="11"/>
  <c r="AH89" i="11"/>
  <c r="N107" i="11"/>
  <c r="O107" i="11"/>
  <c r="AF107" i="11"/>
  <c r="P107" i="11"/>
  <c r="Q107" i="11"/>
  <c r="Y115" i="11"/>
  <c r="AD115" i="11"/>
  <c r="Y117" i="11"/>
  <c r="AD117" i="11"/>
  <c r="Y124" i="11"/>
  <c r="AD124" i="11"/>
  <c r="N135" i="11"/>
  <c r="Y138" i="11"/>
  <c r="AD138" i="11"/>
  <c r="AD157" i="11"/>
  <c r="N163" i="11"/>
  <c r="O163" i="11"/>
  <c r="Y164" i="11"/>
  <c r="AD164" i="11"/>
  <c r="AC30" i="11"/>
  <c r="AH31" i="11"/>
  <c r="Y24" i="11"/>
  <c r="AD24" i="11"/>
  <c r="N28" i="11"/>
  <c r="O28" i="11"/>
  <c r="AF28" i="11"/>
  <c r="P28" i="11"/>
  <c r="Q28" i="11"/>
  <c r="AJ31" i="11"/>
  <c r="N33" i="11"/>
  <c r="O33" i="11"/>
  <c r="N39" i="11"/>
  <c r="N48" i="11"/>
  <c r="O48" i="11"/>
  <c r="AK55" i="11"/>
  <c r="AH79" i="11"/>
  <c r="N91" i="11"/>
  <c r="Y94" i="11"/>
  <c r="AD94" i="11"/>
  <c r="N99" i="11"/>
  <c r="N104" i="11"/>
  <c r="Y108" i="11"/>
  <c r="AD108" i="11"/>
  <c r="N123" i="11"/>
  <c r="Y132" i="11"/>
  <c r="AD132" i="11"/>
  <c r="N127" i="11"/>
  <c r="O127" i="11"/>
  <c r="AF127" i="11"/>
  <c r="P127" i="11"/>
  <c r="Q127" i="11"/>
  <c r="AD111" i="11"/>
  <c r="Y128" i="11"/>
  <c r="AD128" i="11"/>
  <c r="AJ41" i="11"/>
  <c r="AK31" i="11"/>
  <c r="AI31" i="11"/>
  <c r="AG31" i="11"/>
  <c r="T31" i="11"/>
  <c r="Y142" i="11"/>
  <c r="AD142" i="11"/>
  <c r="Y159" i="11"/>
  <c r="AD173" i="11"/>
  <c r="N100" i="11"/>
  <c r="O100" i="11"/>
  <c r="N24" i="11"/>
  <c r="AH32" i="11"/>
  <c r="AH37" i="11"/>
  <c r="AF52" i="11"/>
  <c r="N23" i="11"/>
  <c r="AK34" i="11"/>
  <c r="AH36" i="11"/>
  <c r="AI37" i="11"/>
  <c r="AF49" i="11"/>
  <c r="S49" i="11"/>
  <c r="N59" i="11"/>
  <c r="O59" i="11"/>
  <c r="AF59" i="11"/>
  <c r="P59" i="11"/>
  <c r="Q59" i="11"/>
  <c r="AJ63" i="11"/>
  <c r="AF66" i="11"/>
  <c r="S66" i="11"/>
  <c r="AI100" i="11"/>
  <c r="AK105" i="11"/>
  <c r="N116" i="11"/>
  <c r="N148" i="11"/>
  <c r="N153" i="11"/>
  <c r="O153" i="11"/>
  <c r="Y154" i="11"/>
  <c r="AD154" i="11"/>
  <c r="Y161" i="11"/>
  <c r="AD161" i="11"/>
  <c r="AJ68" i="11"/>
  <c r="AH22" i="11"/>
  <c r="AI24" i="11"/>
  <c r="AK37" i="11"/>
  <c r="AJ43" i="11"/>
  <c r="AI49" i="11"/>
  <c r="AH66" i="11"/>
  <c r="AI66" i="11"/>
  <c r="AJ66" i="11"/>
  <c r="AK66" i="11"/>
  <c r="AG66" i="11"/>
  <c r="AD81" i="11"/>
  <c r="AD78" i="11"/>
  <c r="AD80" i="11"/>
  <c r="AI93" i="11"/>
  <c r="AK35" i="11"/>
  <c r="AJ24" i="11"/>
  <c r="AH28" i="11"/>
  <c r="AK43" i="11"/>
  <c r="Y45" i="11"/>
  <c r="AD45" i="11"/>
  <c r="AF60" i="11"/>
  <c r="N64" i="11"/>
  <c r="O64" i="11"/>
  <c r="AF72" i="11"/>
  <c r="P72" i="11"/>
  <c r="Q72" i="11"/>
  <c r="N76" i="11"/>
  <c r="AC89" i="11"/>
  <c r="AF97" i="11"/>
  <c r="S97" i="11"/>
  <c r="Y104" i="11"/>
  <c r="AD104" i="11"/>
  <c r="Y121" i="11"/>
  <c r="AD121" i="11"/>
  <c r="N150" i="11"/>
  <c r="O150" i="11"/>
  <c r="Y166" i="11"/>
  <c r="AD166" i="11"/>
  <c r="AD64" i="11"/>
  <c r="Y35" i="11"/>
  <c r="AD50" i="11"/>
  <c r="AD160" i="11"/>
  <c r="AI32" i="11"/>
  <c r="AI30" i="11"/>
  <c r="AH39" i="11"/>
  <c r="AI39" i="11"/>
  <c r="AG39" i="11"/>
  <c r="AF39" i="11"/>
  <c r="R39" i="11"/>
  <c r="AH23" i="11"/>
  <c r="AF29" i="11"/>
  <c r="N44" i="11"/>
  <c r="AJ46" i="11"/>
  <c r="AH59" i="11"/>
  <c r="AK60" i="11"/>
  <c r="N73" i="11"/>
  <c r="O73" i="11"/>
  <c r="P73" i="11"/>
  <c r="Q73" i="11"/>
  <c r="N78" i="11"/>
  <c r="N80" i="11"/>
  <c r="O80" i="11"/>
  <c r="AK81" i="11"/>
  <c r="Y93" i="11"/>
  <c r="AD93" i="11"/>
  <c r="Y156" i="11"/>
  <c r="AD156" i="11"/>
  <c r="N162" i="11"/>
  <c r="AD67" i="11"/>
  <c r="AF41" i="11"/>
  <c r="P41" i="11"/>
  <c r="Q41" i="11"/>
  <c r="AF42" i="11"/>
  <c r="P42" i="11"/>
  <c r="Q42" i="11"/>
  <c r="Y71" i="11"/>
  <c r="AD71" i="11"/>
  <c r="Y74" i="11"/>
  <c r="AD74" i="11"/>
  <c r="AK86" i="11"/>
  <c r="N143" i="11"/>
  <c r="O143" i="11"/>
  <c r="AF143" i="11"/>
  <c r="P143" i="11"/>
  <c r="Q143" i="11"/>
  <c r="N155" i="11"/>
  <c r="O155" i="11"/>
  <c r="AF163" i="11"/>
  <c r="P163" i="11"/>
  <c r="Q163" i="11"/>
  <c r="N170" i="11"/>
  <c r="O170" i="11"/>
  <c r="Y23" i="11"/>
  <c r="AD23" i="11"/>
  <c r="AJ36" i="11"/>
  <c r="AI42" i="11"/>
  <c r="AI51" i="11"/>
  <c r="AF54" i="11"/>
  <c r="Y56" i="11"/>
  <c r="AD56" i="11"/>
  <c r="AF62" i="11"/>
  <c r="AH76" i="11"/>
  <c r="AK104" i="11"/>
  <c r="AJ107" i="11"/>
  <c r="AH163" i="11"/>
  <c r="Y165" i="11"/>
  <c r="AD165" i="11"/>
  <c r="Y171" i="11"/>
  <c r="AD171" i="11"/>
  <c r="O23" i="11"/>
  <c r="O54" i="11"/>
  <c r="P54" i="11"/>
  <c r="Q54" i="11"/>
  <c r="O76" i="11"/>
  <c r="AF76" i="11"/>
  <c r="P76" i="11"/>
  <c r="Q76" i="11"/>
  <c r="AF75" i="11"/>
  <c r="P75" i="11"/>
  <c r="Q75" i="11"/>
  <c r="O56" i="11"/>
  <c r="P56" i="11"/>
  <c r="Q56" i="11"/>
  <c r="O21" i="11"/>
  <c r="O40" i="11"/>
  <c r="O86" i="11"/>
  <c r="N27" i="11"/>
  <c r="O37" i="11"/>
  <c r="AH55" i="11"/>
  <c r="AC55" i="11"/>
  <c r="O77" i="11"/>
  <c r="AD25" i="11"/>
  <c r="O38" i="11"/>
  <c r="O39" i="11"/>
  <c r="P39" i="11"/>
  <c r="Q39" i="11"/>
  <c r="O44" i="11"/>
  <c r="AF44" i="11"/>
  <c r="P44" i="11"/>
  <c r="Q44" i="11"/>
  <c r="AD55" i="11"/>
  <c r="Y58" i="11"/>
  <c r="AD58" i="11"/>
  <c r="Y62" i="11"/>
  <c r="AD62" i="11"/>
  <c r="O91" i="11"/>
  <c r="AD27" i="11"/>
  <c r="AD21" i="11"/>
  <c r="O24" i="11"/>
  <c r="AC43" i="11"/>
  <c r="AH43" i="11"/>
  <c r="AD44" i="11"/>
  <c r="S58" i="11"/>
  <c r="O63" i="11"/>
  <c r="S72" i="11"/>
  <c r="S29" i="11"/>
  <c r="P29" i="11"/>
  <c r="Q29" i="11"/>
  <c r="O35" i="11"/>
  <c r="AH57" i="11"/>
  <c r="AC57" i="11"/>
  <c r="AH102" i="11"/>
  <c r="AC102" i="11"/>
  <c r="AH26" i="11"/>
  <c r="AC26" i="11"/>
  <c r="AD57" i="11"/>
  <c r="O105" i="11"/>
  <c r="O30" i="11"/>
  <c r="AD40" i="11"/>
  <c r="N51" i="11"/>
  <c r="S62" i="11"/>
  <c r="O79" i="11"/>
  <c r="N34" i="11"/>
  <c r="AH44" i="11"/>
  <c r="AC44" i="11"/>
  <c r="N52" i="11"/>
  <c r="S54" i="11"/>
  <c r="O88" i="11"/>
  <c r="O104" i="11"/>
  <c r="AJ25" i="11"/>
  <c r="AH35" i="11"/>
  <c r="AI35" i="11"/>
  <c r="AG35" i="11"/>
  <c r="AC35" i="11"/>
  <c r="N25" i="11"/>
  <c r="Y29" i="11"/>
  <c r="AD29" i="11"/>
  <c r="AD43" i="11"/>
  <c r="N58" i="11"/>
  <c r="S60" i="11"/>
  <c r="O62" i="11"/>
  <c r="P62" i="11"/>
  <c r="Q62" i="11"/>
  <c r="O93" i="11"/>
  <c r="O26" i="11"/>
  <c r="O22" i="11"/>
  <c r="AC27" i="11"/>
  <c r="AH27" i="11"/>
  <c r="AD26" i="11"/>
  <c r="AH25" i="11"/>
  <c r="AJ26" i="11"/>
  <c r="AC33" i="11"/>
  <c r="AH33" i="11"/>
  <c r="AC34" i="11"/>
  <c r="AH34" i="11"/>
  <c r="O70" i="11"/>
  <c r="O87" i="11"/>
  <c r="AH40" i="11"/>
  <c r="AC40" i="11"/>
  <c r="AH21" i="11"/>
  <c r="X17" i="11"/>
  <c r="AC21" i="11"/>
  <c r="AK26" i="11"/>
  <c r="Y34" i="11"/>
  <c r="AD34" i="11"/>
  <c r="AD35" i="11"/>
  <c r="S42" i="11"/>
  <c r="AC47" i="11"/>
  <c r="AH47" i="11"/>
  <c r="O60" i="11"/>
  <c r="P60" i="11"/>
  <c r="Q60" i="11"/>
  <c r="AH24" i="11"/>
  <c r="AC24" i="11"/>
  <c r="Y30" i="11"/>
  <c r="AC50" i="11"/>
  <c r="AH50" i="11"/>
  <c r="O120" i="11"/>
  <c r="AH146" i="11"/>
  <c r="AC146" i="11"/>
  <c r="AK24" i="11"/>
  <c r="AK25" i="11"/>
  <c r="AF30" i="11"/>
  <c r="AJ32" i="11"/>
  <c r="AG32" i="11"/>
  <c r="AH38" i="11"/>
  <c r="AH42" i="11"/>
  <c r="AG42" i="11"/>
  <c r="T42" i="11"/>
  <c r="AI46" i="11"/>
  <c r="AJ48" i="11"/>
  <c r="AK51" i="11"/>
  <c r="AF64" i="11"/>
  <c r="AI69" i="11"/>
  <c r="AK72" i="11"/>
  <c r="AH74" i="11"/>
  <c r="AC74" i="11"/>
  <c r="Y83" i="11"/>
  <c r="AD83" i="11"/>
  <c r="AJ85" i="11"/>
  <c r="AH93" i="11"/>
  <c r="AD102" i="11"/>
  <c r="AH106" i="11"/>
  <c r="AI107" i="11"/>
  <c r="AF108" i="11"/>
  <c r="AD146" i="11"/>
  <c r="AF168" i="11"/>
  <c r="O69" i="11"/>
  <c r="S99" i="11"/>
  <c r="O110" i="11"/>
  <c r="O119" i="11"/>
  <c r="AF119" i="11"/>
  <c r="P119" i="11"/>
  <c r="Q119" i="11"/>
  <c r="AI134" i="11"/>
  <c r="AJ134" i="11"/>
  <c r="AK134" i="11"/>
  <c r="AG134" i="11"/>
  <c r="AC137" i="11"/>
  <c r="AH137" i="11"/>
  <c r="S163" i="11"/>
  <c r="AC120" i="11"/>
  <c r="AH120" i="11"/>
  <c r="O123" i="11"/>
  <c r="S56" i="11"/>
  <c r="AI94" i="11"/>
  <c r="AJ100" i="11"/>
  <c r="AF101" i="11"/>
  <c r="O114" i="11"/>
  <c r="AC136" i="11"/>
  <c r="AH136" i="11"/>
  <c r="AI136" i="11"/>
  <c r="AJ136" i="11"/>
  <c r="AK136" i="11"/>
  <c r="AG136" i="11"/>
  <c r="AJ162" i="11"/>
  <c r="AH171" i="11"/>
  <c r="AC171" i="11"/>
  <c r="AH41" i="11"/>
  <c r="AI41" i="11"/>
  <c r="AK41" i="11"/>
  <c r="AG41" i="11"/>
  <c r="T41" i="11"/>
  <c r="AJ49" i="11"/>
  <c r="AJ52" i="11"/>
  <c r="AJ56" i="11"/>
  <c r="AK64" i="11"/>
  <c r="AI67" i="11"/>
  <c r="AJ73" i="11"/>
  <c r="O82" i="11"/>
  <c r="AI101" i="11"/>
  <c r="AK162" i="11"/>
  <c r="AH170" i="11"/>
  <c r="AC170" i="11"/>
  <c r="AF23" i="11"/>
  <c r="AF27" i="11"/>
  <c r="AF34" i="11"/>
  <c r="AC37" i="11"/>
  <c r="AC38" i="11"/>
  <c r="AC39" i="11"/>
  <c r="AF40" i="11"/>
  <c r="S41" i="11"/>
  <c r="AJ45" i="11"/>
  <c r="AK49" i="11"/>
  <c r="AH51" i="11"/>
  <c r="AC61" i="11"/>
  <c r="AK67" i="11"/>
  <c r="AH70" i="11"/>
  <c r="AF91" i="11"/>
  <c r="AF95" i="11"/>
  <c r="AJ101" i="11"/>
  <c r="N103" i="11"/>
  <c r="AC105" i="11"/>
  <c r="AH105" i="11"/>
  <c r="AI105" i="11"/>
  <c r="AJ105" i="11"/>
  <c r="AG105" i="11"/>
  <c r="AD105" i="11"/>
  <c r="AH169" i="11"/>
  <c r="AI169" i="11"/>
  <c r="AJ169" i="11"/>
  <c r="AK169" i="11"/>
  <c r="AG169" i="11"/>
  <c r="AD170" i="11"/>
  <c r="AF22" i="11"/>
  <c r="AH29" i="11"/>
  <c r="AJ30" i="11"/>
  <c r="O36" i="11"/>
  <c r="AI45" i="11"/>
  <c r="N47" i="11"/>
  <c r="AK54" i="11"/>
  <c r="AI62" i="11"/>
  <c r="N67" i="11"/>
  <c r="AC68" i="11"/>
  <c r="AH68" i="11"/>
  <c r="AI68" i="11"/>
  <c r="AK68" i="11"/>
  <c r="AG68" i="11"/>
  <c r="O85" i="11"/>
  <c r="AF85" i="11"/>
  <c r="P85" i="11"/>
  <c r="Q85" i="11"/>
  <c r="AF89" i="11"/>
  <c r="P89" i="11"/>
  <c r="Q89" i="11"/>
  <c r="AJ94" i="11"/>
  <c r="AD136" i="11"/>
  <c r="AF21" i="11"/>
  <c r="AI29" i="11"/>
  <c r="AI171" i="11"/>
  <c r="AI170" i="11"/>
  <c r="AK168" i="11"/>
  <c r="AI158" i="11"/>
  <c r="AK156" i="11"/>
  <c r="AK167" i="11"/>
  <c r="AI157" i="11"/>
  <c r="AK155" i="11"/>
  <c r="AI168" i="11"/>
  <c r="AK166" i="11"/>
  <c r="AI156" i="11"/>
  <c r="AK154" i="11"/>
  <c r="AI144" i="11"/>
  <c r="AK142" i="11"/>
  <c r="AI132" i="11"/>
  <c r="AK130" i="11"/>
  <c r="AI120" i="11"/>
  <c r="AK118" i="11"/>
  <c r="AI167" i="11"/>
  <c r="AK165" i="11"/>
  <c r="AI155" i="11"/>
  <c r="AK153" i="11"/>
  <c r="AI166" i="11"/>
  <c r="AK164" i="11"/>
  <c r="AI154" i="11"/>
  <c r="AK152" i="11"/>
  <c r="AI162" i="11"/>
  <c r="AI159" i="11"/>
  <c r="AI151" i="11"/>
  <c r="AI146" i="11"/>
  <c r="AK174" i="11"/>
  <c r="AK170" i="11"/>
  <c r="AI165" i="11"/>
  <c r="AK158" i="11"/>
  <c r="AI147" i="11"/>
  <c r="AK123" i="11"/>
  <c r="AI121" i="11"/>
  <c r="AI113" i="11"/>
  <c r="AK111" i="11"/>
  <c r="AI152" i="11"/>
  <c r="AK148" i="11"/>
  <c r="AK129" i="11"/>
  <c r="AK128" i="11"/>
  <c r="AK124" i="11"/>
  <c r="AI122" i="11"/>
  <c r="AI112" i="11"/>
  <c r="AK110" i="11"/>
  <c r="AI174" i="11"/>
  <c r="AK161" i="11"/>
  <c r="AK132" i="11"/>
  <c r="AK131" i="11"/>
  <c r="AK127" i="11"/>
  <c r="AK126" i="11"/>
  <c r="AK125" i="11"/>
  <c r="AI123" i="11"/>
  <c r="AI111" i="11"/>
  <c r="AK109" i="11"/>
  <c r="AK163" i="11"/>
  <c r="AI148" i="11"/>
  <c r="AK133" i="11"/>
  <c r="AI131" i="11"/>
  <c r="AI130" i="11"/>
  <c r="AI129" i="11"/>
  <c r="AI128" i="11"/>
  <c r="AI124" i="11"/>
  <c r="AK147" i="11"/>
  <c r="AI137" i="11"/>
  <c r="AI127" i="11"/>
  <c r="AI173" i="11"/>
  <c r="AK172" i="11"/>
  <c r="AK149" i="11"/>
  <c r="AI140" i="11"/>
  <c r="AK121" i="11"/>
  <c r="AI118" i="11"/>
  <c r="AK115" i="11"/>
  <c r="AK103" i="11"/>
  <c r="AK146" i="11"/>
  <c r="AI142" i="11"/>
  <c r="AI133" i="11"/>
  <c r="AI172" i="11"/>
  <c r="AK171" i="11"/>
  <c r="AI149" i="11"/>
  <c r="AK145" i="11"/>
  <c r="AI115" i="11"/>
  <c r="AI103" i="11"/>
  <c r="AI99" i="11"/>
  <c r="AK97" i="11"/>
  <c r="AI87" i="11"/>
  <c r="AK85" i="11"/>
  <c r="AI163" i="11"/>
  <c r="AK139" i="11"/>
  <c r="AI125" i="11"/>
  <c r="AK120" i="11"/>
  <c r="AK117" i="11"/>
  <c r="AK157" i="11"/>
  <c r="AI153" i="11"/>
  <c r="AK143" i="11"/>
  <c r="AI138" i="11"/>
  <c r="AK122" i="11"/>
  <c r="AI119" i="11"/>
  <c r="AI141" i="11"/>
  <c r="AK108" i="11"/>
  <c r="AK88" i="11"/>
  <c r="AI86" i="11"/>
  <c r="AI85" i="11"/>
  <c r="AI84" i="11"/>
  <c r="AI83" i="11"/>
  <c r="AI79" i="11"/>
  <c r="AI75" i="11"/>
  <c r="AK73" i="11"/>
  <c r="AI143" i="11"/>
  <c r="AK89" i="11"/>
  <c r="AI82" i="11"/>
  <c r="AI81" i="11"/>
  <c r="AI80" i="11"/>
  <c r="AI145" i="11"/>
  <c r="AK140" i="11"/>
  <c r="AI139" i="11"/>
  <c r="AK138" i="11"/>
  <c r="AK137" i="11"/>
  <c r="AK135" i="11"/>
  <c r="AI126" i="11"/>
  <c r="AK116" i="11"/>
  <c r="AK114" i="11"/>
  <c r="AI108" i="11"/>
  <c r="AK90" i="11"/>
  <c r="AI88" i="11"/>
  <c r="AI73" i="11"/>
  <c r="AK71" i="11"/>
  <c r="AK160" i="11"/>
  <c r="AK151" i="11"/>
  <c r="AK150" i="11"/>
  <c r="AI135" i="11"/>
  <c r="AI117" i="11"/>
  <c r="AI116" i="11"/>
  <c r="AK96" i="11"/>
  <c r="AK95" i="11"/>
  <c r="AK91" i="11"/>
  <c r="AI89" i="11"/>
  <c r="AJ89" i="11"/>
  <c r="AG89" i="11"/>
  <c r="R89" i="11"/>
  <c r="AI72" i="11"/>
  <c r="AK70" i="11"/>
  <c r="AI60" i="11"/>
  <c r="AK58" i="11"/>
  <c r="AI48" i="11"/>
  <c r="AG48" i="11"/>
  <c r="AK46" i="11"/>
  <c r="AK30" i="11"/>
  <c r="AI25" i="11"/>
  <c r="AI164" i="11"/>
  <c r="AI160" i="11"/>
  <c r="AI150" i="11"/>
  <c r="AI114" i="11"/>
  <c r="AK106" i="11"/>
  <c r="AK99" i="11"/>
  <c r="AK98" i="11"/>
  <c r="AK94" i="11"/>
  <c r="AK93" i="11"/>
  <c r="AK92" i="11"/>
  <c r="AI90" i="11"/>
  <c r="AI71" i="11"/>
  <c r="AK69" i="11"/>
  <c r="AK112" i="11"/>
  <c r="AK107" i="11"/>
  <c r="AK78" i="11"/>
  <c r="AK76" i="11"/>
  <c r="AK141" i="11"/>
  <c r="AK113" i="11"/>
  <c r="AI104" i="11"/>
  <c r="AI74" i="11"/>
  <c r="AK57" i="11"/>
  <c r="AK56" i="11"/>
  <c r="AK52" i="11"/>
  <c r="AI50" i="11"/>
  <c r="AK159" i="11"/>
  <c r="AK119" i="11"/>
  <c r="AK102" i="11"/>
  <c r="AI109" i="11"/>
  <c r="AI102" i="11"/>
  <c r="AK84" i="11"/>
  <c r="AK80" i="11"/>
  <c r="AK79" i="11"/>
  <c r="AK61" i="11"/>
  <c r="AI59" i="11"/>
  <c r="AI58" i="11"/>
  <c r="AI57" i="11"/>
  <c r="AI56" i="11"/>
  <c r="AI52" i="11"/>
  <c r="AI110" i="11"/>
  <c r="AI97" i="11"/>
  <c r="AK83" i="11"/>
  <c r="AK62" i="11"/>
  <c r="AI55" i="11"/>
  <c r="AI54" i="11"/>
  <c r="AI53" i="11"/>
  <c r="AK101" i="11"/>
  <c r="AI95" i="11"/>
  <c r="AI91" i="11"/>
  <c r="AI78" i="11"/>
  <c r="AK77" i="11"/>
  <c r="AI70" i="11"/>
  <c r="AK63" i="11"/>
  <c r="AI61" i="11"/>
  <c r="AK173" i="11"/>
  <c r="AK100" i="11"/>
  <c r="AI98" i="11"/>
  <c r="AI96" i="11"/>
  <c r="AK87" i="11"/>
  <c r="AI65" i="11"/>
  <c r="AI28" i="11"/>
  <c r="AJ28" i="11"/>
  <c r="AK28" i="11"/>
  <c r="AG28" i="11"/>
  <c r="AJ29" i="11"/>
  <c r="AF33" i="11"/>
  <c r="AF35" i="11"/>
  <c r="AF36" i="11"/>
  <c r="N43" i="11"/>
  <c r="AK45" i="11"/>
  <c r="AI47" i="11"/>
  <c r="N55" i="11"/>
  <c r="AD68" i="11"/>
  <c r="AK74" i="11"/>
  <c r="AI76" i="11"/>
  <c r="AH77" i="11"/>
  <c r="Y97" i="11"/>
  <c r="AD97" i="11"/>
  <c r="AF174" i="11"/>
  <c r="AJ170" i="11"/>
  <c r="AF162" i="11"/>
  <c r="AF173" i="11"/>
  <c r="AF161" i="11"/>
  <c r="AJ157" i="11"/>
  <c r="AF149" i="11"/>
  <c r="AF172" i="11"/>
  <c r="AJ168" i="11"/>
  <c r="AF160" i="11"/>
  <c r="AJ156" i="11"/>
  <c r="AF171" i="11"/>
  <c r="AJ167" i="11"/>
  <c r="AF159" i="11"/>
  <c r="AJ155" i="11"/>
  <c r="AF147" i="11"/>
  <c r="AJ143" i="11"/>
  <c r="AF135" i="11"/>
  <c r="AJ131" i="11"/>
  <c r="AF123" i="11"/>
  <c r="AJ119" i="11"/>
  <c r="AF170" i="11"/>
  <c r="AH168" i="11"/>
  <c r="AJ166" i="11"/>
  <c r="AF158" i="11"/>
  <c r="AH156" i="11"/>
  <c r="AJ154" i="11"/>
  <c r="AF169" i="11"/>
  <c r="AJ165" i="11"/>
  <c r="AF157" i="11"/>
  <c r="AJ153" i="11"/>
  <c r="AJ171" i="11"/>
  <c r="AF167" i="11"/>
  <c r="P167" i="11"/>
  <c r="Q167" i="11"/>
  <c r="AF164" i="11"/>
  <c r="AF150" i="11"/>
  <c r="P150" i="11"/>
  <c r="Q150" i="11"/>
  <c r="AJ147" i="11"/>
  <c r="AF144" i="11"/>
  <c r="AF142" i="11"/>
  <c r="AF141" i="11"/>
  <c r="AF140" i="11"/>
  <c r="AF136" i="11"/>
  <c r="AJ152" i="11"/>
  <c r="AF145" i="11"/>
  <c r="AF139" i="11"/>
  <c r="AF138" i="11"/>
  <c r="AF137" i="11"/>
  <c r="AJ122" i="11"/>
  <c r="AJ112" i="11"/>
  <c r="AJ174" i="11"/>
  <c r="AH165" i="11"/>
  <c r="AJ158" i="11"/>
  <c r="AF146" i="11"/>
  <c r="AJ123" i="11"/>
  <c r="AF120" i="11"/>
  <c r="AF118" i="11"/>
  <c r="AF117" i="11"/>
  <c r="AF116" i="11"/>
  <c r="AJ111" i="11"/>
  <c r="AF103" i="11"/>
  <c r="AH152" i="11"/>
  <c r="AF151" i="11"/>
  <c r="AJ148" i="11"/>
  <c r="AJ130" i="11"/>
  <c r="AJ129" i="11"/>
  <c r="AJ128" i="11"/>
  <c r="AJ124" i="11"/>
  <c r="AF121" i="11"/>
  <c r="AF114" i="11"/>
  <c r="AJ110" i="11"/>
  <c r="AF165" i="11"/>
  <c r="AJ161" i="11"/>
  <c r="AF155" i="11"/>
  <c r="AJ132" i="11"/>
  <c r="AJ127" i="11"/>
  <c r="AJ126" i="11"/>
  <c r="AJ125" i="11"/>
  <c r="AF122" i="11"/>
  <c r="AJ173" i="11"/>
  <c r="AH164" i="11"/>
  <c r="AJ159" i="11"/>
  <c r="AF156" i="11"/>
  <c r="AF153" i="11"/>
  <c r="AJ140" i="11"/>
  <c r="AJ142" i="11"/>
  <c r="AJ133" i="11"/>
  <c r="AH130" i="11"/>
  <c r="AH127" i="11"/>
  <c r="AF124" i="11"/>
  <c r="AH110" i="11"/>
  <c r="AF109" i="11"/>
  <c r="P109" i="11"/>
  <c r="Q109" i="11"/>
  <c r="AH173" i="11"/>
  <c r="AJ172" i="11"/>
  <c r="AJ149" i="11"/>
  <c r="AJ121" i="11"/>
  <c r="AH118" i="11"/>
  <c r="AJ115" i="11"/>
  <c r="AJ103" i="11"/>
  <c r="AJ163" i="11"/>
  <c r="AG163" i="11"/>
  <c r="AJ146" i="11"/>
  <c r="AH142" i="11"/>
  <c r="AG142" i="11"/>
  <c r="AF130" i="11"/>
  <c r="AH111" i="11"/>
  <c r="AF110" i="11"/>
  <c r="AF102" i="11"/>
  <c r="AJ98" i="11"/>
  <c r="AF90" i="11"/>
  <c r="AJ86" i="11"/>
  <c r="AF78" i="11"/>
  <c r="AH166" i="11"/>
  <c r="AH154" i="11"/>
  <c r="AH149" i="11"/>
  <c r="AJ145" i="11"/>
  <c r="AF133" i="11"/>
  <c r="AH128" i="11"/>
  <c r="AH161" i="11"/>
  <c r="AJ160" i="11"/>
  <c r="AJ150" i="11"/>
  <c r="AF148" i="11"/>
  <c r="AJ135" i="11"/>
  <c r="AH132" i="11"/>
  <c r="AH129" i="11"/>
  <c r="AH126" i="11"/>
  <c r="AJ116" i="11"/>
  <c r="AJ144" i="11"/>
  <c r="AF128" i="11"/>
  <c r="AH119" i="11"/>
  <c r="AJ87" i="11"/>
  <c r="AJ82" i="11"/>
  <c r="AJ81" i="11"/>
  <c r="AJ80" i="11"/>
  <c r="AJ74" i="11"/>
  <c r="AF166" i="11"/>
  <c r="AF154" i="11"/>
  <c r="P154" i="11"/>
  <c r="Q154" i="11"/>
  <c r="AH153" i="11"/>
  <c r="AH144" i="11"/>
  <c r="AH141" i="11"/>
  <c r="AJ139" i="11"/>
  <c r="AF132" i="11"/>
  <c r="P132" i="11"/>
  <c r="Q132" i="11"/>
  <c r="AJ118" i="11"/>
  <c r="AJ108" i="11"/>
  <c r="AF104" i="11"/>
  <c r="AJ88" i="11"/>
  <c r="AH85" i="11"/>
  <c r="AH84" i="11"/>
  <c r="AF77" i="11"/>
  <c r="AJ117" i="11"/>
  <c r="AF111" i="11"/>
  <c r="AJ72" i="11"/>
  <c r="AJ164" i="11"/>
  <c r="AF152" i="11"/>
  <c r="AH139" i="11"/>
  <c r="AJ138" i="11"/>
  <c r="AJ137" i="11"/>
  <c r="AJ114" i="11"/>
  <c r="AJ90" i="11"/>
  <c r="AF87" i="11"/>
  <c r="AF86" i="11"/>
  <c r="AF84" i="11"/>
  <c r="AF83" i="11"/>
  <c r="P83" i="11"/>
  <c r="Q83" i="11"/>
  <c r="AF79" i="11"/>
  <c r="AJ71" i="11"/>
  <c r="AF63" i="11"/>
  <c r="AJ59" i="11"/>
  <c r="AF51" i="11"/>
  <c r="AJ47" i="11"/>
  <c r="AJ37" i="11"/>
  <c r="AG37" i="11"/>
  <c r="AF37" i="11"/>
  <c r="R37" i="11"/>
  <c r="AF26" i="11"/>
  <c r="AJ151" i="11"/>
  <c r="AH148" i="11"/>
  <c r="AH138" i="11"/>
  <c r="AH131" i="11"/>
  <c r="AF126" i="11"/>
  <c r="AH116" i="11"/>
  <c r="AF105" i="11"/>
  <c r="AJ97" i="11"/>
  <c r="AJ96" i="11"/>
  <c r="AJ95" i="11"/>
  <c r="AJ91" i="11"/>
  <c r="AF88" i="11"/>
  <c r="AF82" i="11"/>
  <c r="AF80" i="11"/>
  <c r="AF74" i="11"/>
  <c r="AJ70" i="11"/>
  <c r="AF125" i="11"/>
  <c r="AH109" i="11"/>
  <c r="AF106" i="11"/>
  <c r="AJ104" i="11"/>
  <c r="AJ102" i="11"/>
  <c r="AF100" i="11"/>
  <c r="P100" i="11"/>
  <c r="Q100" i="11"/>
  <c r="AF94" i="11"/>
  <c r="AF93" i="11"/>
  <c r="AF92" i="11"/>
  <c r="P92" i="11"/>
  <c r="Q92" i="11"/>
  <c r="AJ77" i="11"/>
  <c r="AF98" i="11"/>
  <c r="AF96" i="11"/>
  <c r="AH94" i="11"/>
  <c r="AG94" i="11"/>
  <c r="R94" i="11"/>
  <c r="AH92" i="11"/>
  <c r="AI92" i="11"/>
  <c r="AJ92" i="11"/>
  <c r="AG92" i="11"/>
  <c r="AJ69" i="11"/>
  <c r="AF65" i="11"/>
  <c r="P65" i="11"/>
  <c r="Q65" i="11"/>
  <c r="AJ51" i="11"/>
  <c r="AF48" i="11"/>
  <c r="AF47" i="11"/>
  <c r="AF46" i="11"/>
  <c r="AF45" i="11"/>
  <c r="AJ141" i="11"/>
  <c r="AJ113" i="11"/>
  <c r="AJ109" i="11"/>
  <c r="AH104" i="11"/>
  <c r="AF113" i="11"/>
  <c r="AH69" i="11"/>
  <c r="AF68" i="11"/>
  <c r="AJ60" i="11"/>
  <c r="AJ55" i="11"/>
  <c r="AJ54" i="11"/>
  <c r="AJ53" i="11"/>
  <c r="AF50" i="11"/>
  <c r="AH160" i="11"/>
  <c r="AF131" i="11"/>
  <c r="AJ120" i="11"/>
  <c r="AF112" i="11"/>
  <c r="AJ99" i="11"/>
  <c r="AJ84" i="11"/>
  <c r="AJ79" i="11"/>
  <c r="AJ78" i="11"/>
  <c r="AJ61" i="11"/>
  <c r="AH58" i="11"/>
  <c r="AF129" i="11"/>
  <c r="AH125" i="11"/>
  <c r="AH99" i="11"/>
  <c r="AH97" i="11"/>
  <c r="AJ93" i="11"/>
  <c r="AJ83" i="11"/>
  <c r="AF69" i="11"/>
  <c r="AJ62" i="11"/>
  <c r="AH150" i="11"/>
  <c r="AF134" i="11"/>
  <c r="AH90" i="11"/>
  <c r="Y90" i="11"/>
  <c r="AG90" i="11"/>
  <c r="AJ75" i="11"/>
  <c r="AF71" i="11"/>
  <c r="AJ67" i="11"/>
  <c r="AG67" i="11"/>
  <c r="T67" i="11"/>
  <c r="N49" i="11"/>
  <c r="O99" i="11"/>
  <c r="P99" i="11"/>
  <c r="Q99" i="11"/>
  <c r="AI21" i="11"/>
  <c r="AI22" i="11"/>
  <c r="AF24" i="11"/>
  <c r="AI27" i="11"/>
  <c r="AK29" i="11"/>
  <c r="AF38" i="11"/>
  <c r="AF43" i="11"/>
  <c r="AI44" i="11"/>
  <c r="AK47" i="11"/>
  <c r="AJ50" i="11"/>
  <c r="AH60" i="11"/>
  <c r="AF61" i="11"/>
  <c r="P61" i="11"/>
  <c r="Q61" i="11"/>
  <c r="AH65" i="11"/>
  <c r="AH72" i="11"/>
  <c r="AC72" i="11"/>
  <c r="O74" i="11"/>
  <c r="P74" i="11"/>
  <c r="Q74" i="11"/>
  <c r="AJ76" i="11"/>
  <c r="AI77" i="11"/>
  <c r="AH91" i="11"/>
  <c r="AH95" i="11"/>
  <c r="AC107" i="11"/>
  <c r="AH107" i="11"/>
  <c r="S52" i="11"/>
  <c r="V17" i="11"/>
  <c r="AJ21" i="11"/>
  <c r="AJ22" i="11"/>
  <c r="AK22" i="11"/>
  <c r="AG22" i="11"/>
  <c r="AI23" i="11"/>
  <c r="AJ27" i="11"/>
  <c r="AI34" i="11"/>
  <c r="AI40" i="11"/>
  <c r="AJ44" i="11"/>
  <c r="O46" i="11"/>
  <c r="AK50" i="11"/>
  <c r="AF53" i="11"/>
  <c r="AH54" i="11"/>
  <c r="AF55" i="11"/>
  <c r="AH56" i="11"/>
  <c r="AG56" i="11"/>
  <c r="R56" i="11"/>
  <c r="AF57" i="11"/>
  <c r="AH63" i="11"/>
  <c r="AJ65" i="11"/>
  <c r="O71" i="11"/>
  <c r="AK75" i="11"/>
  <c r="AH81" i="11"/>
  <c r="AC81" i="11"/>
  <c r="AH82" i="11"/>
  <c r="AH103" i="11"/>
  <c r="AC103" i="11"/>
  <c r="Y114" i="11"/>
  <c r="AD114" i="11"/>
  <c r="Y148" i="11"/>
  <c r="AD148" i="11"/>
  <c r="AK21" i="11"/>
  <c r="AJ23" i="11"/>
  <c r="AF25" i="11"/>
  <c r="AI26" i="11"/>
  <c r="AK27" i="11"/>
  <c r="AF32" i="11"/>
  <c r="AI33" i="11"/>
  <c r="AJ34" i="11"/>
  <c r="AI36" i="11"/>
  <c r="AI38" i="11"/>
  <c r="AJ40" i="11"/>
  <c r="AI43" i="11"/>
  <c r="AK44" i="11"/>
  <c r="AD48" i="11"/>
  <c r="AH49" i="11"/>
  <c r="AC49" i="11"/>
  <c r="P50" i="11"/>
  <c r="Q50" i="11"/>
  <c r="AH52" i="11"/>
  <c r="Y54" i="11"/>
  <c r="AD54" i="11"/>
  <c r="AJ57" i="11"/>
  <c r="AK59" i="11"/>
  <c r="AI63" i="11"/>
  <c r="AK65" i="11"/>
  <c r="AH73" i="11"/>
  <c r="AG73" i="11"/>
  <c r="O78" i="11"/>
  <c r="AC80" i="11"/>
  <c r="AH80" i="11"/>
  <c r="Y84" i="11"/>
  <c r="AD84" i="11"/>
  <c r="Y87" i="11"/>
  <c r="AD87" i="11"/>
  <c r="Y99" i="11"/>
  <c r="AD99" i="11"/>
  <c r="AD103" i="11"/>
  <c r="P121" i="11"/>
  <c r="Q121" i="11"/>
  <c r="AH124" i="11"/>
  <c r="AG124" i="11"/>
  <c r="AK144" i="11"/>
  <c r="AH147" i="11"/>
  <c r="AG147" i="11"/>
  <c r="R147" i="11"/>
  <c r="AC147" i="11"/>
  <c r="Y69" i="11"/>
  <c r="AD69" i="11"/>
  <c r="AH78" i="11"/>
  <c r="AC78" i="11"/>
  <c r="AH83" i="11"/>
  <c r="Y91" i="11"/>
  <c r="AD91" i="11"/>
  <c r="Y116" i="11"/>
  <c r="AD116" i="11"/>
  <c r="P118" i="11"/>
  <c r="Q118" i="11"/>
  <c r="P133" i="11"/>
  <c r="Q133" i="11"/>
  <c r="O136" i="11"/>
  <c r="P141" i="11"/>
  <c r="Q141" i="11"/>
  <c r="AC143" i="11"/>
  <c r="AH143" i="11"/>
  <c r="O146" i="11"/>
  <c r="Y155" i="11"/>
  <c r="AD155" i="11"/>
  <c r="AH53" i="11"/>
  <c r="N66" i="11"/>
  <c r="AH86" i="11"/>
  <c r="Y98" i="11"/>
  <c r="AD98" i="11"/>
  <c r="AD120" i="11"/>
  <c r="AC140" i="11"/>
  <c r="AH140" i="11"/>
  <c r="N173" i="11"/>
  <c r="Y86" i="11"/>
  <c r="AD86" i="11"/>
  <c r="AD90" i="11"/>
  <c r="AC117" i="11"/>
  <c r="AH117" i="11"/>
  <c r="N122" i="11"/>
  <c r="O125" i="11"/>
  <c r="AD140" i="11"/>
  <c r="N144" i="11"/>
  <c r="AH145" i="11"/>
  <c r="AG145" i="11"/>
  <c r="R145" i="11"/>
  <c r="AC145" i="11"/>
  <c r="O157" i="11"/>
  <c r="AH75" i="11"/>
  <c r="AH87" i="11"/>
  <c r="O102" i="11"/>
  <c r="O131" i="11"/>
  <c r="O148" i="11"/>
  <c r="P148" i="11"/>
  <c r="Q148" i="11"/>
  <c r="O112" i="11"/>
  <c r="P112" i="11"/>
  <c r="Q112" i="11"/>
  <c r="Y70" i="11"/>
  <c r="AD70" i="11"/>
  <c r="AC86" i="11"/>
  <c r="AH88" i="11"/>
  <c r="AC101" i="11"/>
  <c r="AH101" i="11"/>
  <c r="AG101" i="11"/>
  <c r="O113" i="11"/>
  <c r="AH123" i="11"/>
  <c r="O130" i="11"/>
  <c r="P130" i="11"/>
  <c r="Q130" i="11"/>
  <c r="AC135" i="11"/>
  <c r="AD135" i="11"/>
  <c r="AD147" i="11"/>
  <c r="AC76" i="11"/>
  <c r="AC79" i="11"/>
  <c r="AH100" i="11"/>
  <c r="AG100" i="11"/>
  <c r="N111" i="11"/>
  <c r="AH121" i="11"/>
  <c r="AC121" i="11"/>
  <c r="AH135" i="11"/>
  <c r="AH167" i="11"/>
  <c r="AC174" i="11"/>
  <c r="AH174" i="11"/>
  <c r="AG174" i="11"/>
  <c r="AH108" i="11"/>
  <c r="Y112" i="11"/>
  <c r="AD112" i="11"/>
  <c r="Y133" i="11"/>
  <c r="AD133" i="11"/>
  <c r="Y109" i="11"/>
  <c r="AD109" i="11"/>
  <c r="Y119" i="11"/>
  <c r="AD119" i="11"/>
  <c r="O172" i="11"/>
  <c r="P172" i="11"/>
  <c r="Q172" i="11"/>
  <c r="Y96" i="11"/>
  <c r="AD96" i="11"/>
  <c r="Y130" i="11"/>
  <c r="AD130" i="11"/>
  <c r="O147" i="11"/>
  <c r="O149" i="11"/>
  <c r="O160" i="11"/>
  <c r="P160" i="11"/>
  <c r="Q160" i="11"/>
  <c r="O165" i="11"/>
  <c r="AH113" i="11"/>
  <c r="AC113" i="11"/>
  <c r="O116" i="11"/>
  <c r="P116" i="11"/>
  <c r="Q116" i="11"/>
  <c r="O137" i="11"/>
  <c r="N138" i="11"/>
  <c r="O158" i="11"/>
  <c r="P158" i="11"/>
  <c r="Q158" i="11"/>
  <c r="O159" i="11"/>
  <c r="AH115" i="11"/>
  <c r="Y149" i="11"/>
  <c r="AD149" i="11"/>
  <c r="AH155" i="11"/>
  <c r="N169" i="11"/>
  <c r="AC115" i="11"/>
  <c r="AH122" i="11"/>
  <c r="N139" i="11"/>
  <c r="AD143" i="11"/>
  <c r="AD150" i="11"/>
  <c r="O152" i="11"/>
  <c r="AH159" i="11"/>
  <c r="AC159" i="11"/>
  <c r="AD174" i="11"/>
  <c r="N106" i="11"/>
  <c r="AH112" i="11"/>
  <c r="N142" i="11"/>
  <c r="AH158" i="11"/>
  <c r="AC158" i="11"/>
  <c r="AD159" i="11"/>
  <c r="O140" i="11"/>
  <c r="O145" i="11"/>
  <c r="P145" i="11"/>
  <c r="Q145" i="11"/>
  <c r="AH114" i="11"/>
  <c r="AG114" i="11"/>
  <c r="O135" i="11"/>
  <c r="AC162" i="11"/>
  <c r="AH162" i="11"/>
  <c r="Y131" i="11"/>
  <c r="AD131" i="11"/>
  <c r="AC151" i="11"/>
  <c r="AH151" i="11"/>
  <c r="AH172" i="11"/>
  <c r="AC172" i="11"/>
  <c r="O174" i="11"/>
  <c r="AH133" i="11"/>
  <c r="O161" i="11"/>
  <c r="Y153" i="11"/>
  <c r="AD153" i="11"/>
  <c r="O162" i="11"/>
  <c r="P162" i="11"/>
  <c r="Q162" i="11"/>
  <c r="P164" i="11"/>
  <c r="Q164" i="11"/>
  <c r="Y129" i="11"/>
  <c r="AD129" i="11"/>
  <c r="AH157" i="11"/>
  <c r="Y168" i="11"/>
  <c r="AD168" i="11"/>
  <c r="AG154" i="11"/>
  <c r="AG23" i="11"/>
  <c r="AG166" i="11"/>
  <c r="AG155" i="11"/>
  <c r="R48" i="11"/>
  <c r="AG62" i="11"/>
  <c r="P110" i="11"/>
  <c r="Q110" i="11"/>
  <c r="AG54" i="11"/>
  <c r="T54" i="11"/>
  <c r="R155" i="11"/>
  <c r="AG76" i="11"/>
  <c r="AG96" i="11"/>
  <c r="R96" i="11"/>
  <c r="AG55" i="11"/>
  <c r="T55" i="11"/>
  <c r="AG122" i="11"/>
  <c r="R122" i="11"/>
  <c r="P174" i="11"/>
  <c r="Q174" i="11"/>
  <c r="R76" i="11"/>
  <c r="AG116" i="11"/>
  <c r="R116" i="11"/>
  <c r="AG127" i="11"/>
  <c r="R136" i="11"/>
  <c r="R42" i="11"/>
  <c r="AG143" i="11"/>
  <c r="R143" i="11"/>
  <c r="P159" i="11"/>
  <c r="Q159" i="11"/>
  <c r="AG46" i="11"/>
  <c r="R46" i="11"/>
  <c r="AG21" i="11"/>
  <c r="P37" i="11"/>
  <c r="Q37" i="11"/>
  <c r="AG129" i="11"/>
  <c r="R129" i="11"/>
  <c r="AG71" i="11"/>
  <c r="AG140" i="11"/>
  <c r="R140" i="11"/>
  <c r="P102" i="11"/>
  <c r="Q102" i="11"/>
  <c r="P78" i="11"/>
  <c r="Q78" i="11"/>
  <c r="AG103" i="11"/>
  <c r="R103" i="11"/>
  <c r="P46" i="11"/>
  <c r="Q46" i="11"/>
  <c r="AG51" i="11"/>
  <c r="P26" i="11"/>
  <c r="Q26" i="11"/>
  <c r="P97" i="11"/>
  <c r="Q97" i="11"/>
  <c r="R73" i="11"/>
  <c r="AG109" i="11"/>
  <c r="AG84" i="11"/>
  <c r="R84" i="11"/>
  <c r="AG61" i="11"/>
  <c r="AG79" i="11"/>
  <c r="R79" i="11"/>
  <c r="AG40" i="11"/>
  <c r="T40" i="11"/>
  <c r="P137" i="11"/>
  <c r="Q137" i="11"/>
  <c r="AG36" i="11"/>
  <c r="R36" i="11"/>
  <c r="AG82" i="11"/>
  <c r="R82" i="11"/>
  <c r="AG85" i="11"/>
  <c r="R85" i="11"/>
  <c r="P170" i="11"/>
  <c r="Q170" i="11"/>
  <c r="P91" i="11"/>
  <c r="Q91" i="11"/>
  <c r="P147" i="11"/>
  <c r="Q147" i="11"/>
  <c r="AG104" i="11"/>
  <c r="AG99" i="11"/>
  <c r="AG64" i="11"/>
  <c r="R64" i="11"/>
  <c r="AG24" i="11"/>
  <c r="P70" i="11"/>
  <c r="Q70" i="11"/>
  <c r="P31" i="11"/>
  <c r="Q31" i="11"/>
  <c r="AG171" i="11"/>
  <c r="R171" i="11"/>
  <c r="AG108" i="11"/>
  <c r="P157" i="11"/>
  <c r="Q157" i="11"/>
  <c r="R174" i="11"/>
  <c r="P113" i="11"/>
  <c r="Q113" i="11"/>
  <c r="R104" i="11"/>
  <c r="AG59" i="11"/>
  <c r="R59" i="11"/>
  <c r="P123" i="11"/>
  <c r="Q123" i="11"/>
  <c r="T66" i="11"/>
  <c r="AG34" i="11"/>
  <c r="R163" i="11"/>
  <c r="T163" i="11"/>
  <c r="R62" i="11"/>
  <c r="T62" i="11"/>
  <c r="T35" i="11"/>
  <c r="S35" i="11"/>
  <c r="AG151" i="11"/>
  <c r="R151" i="11"/>
  <c r="AG49" i="11"/>
  <c r="R49" i="11"/>
  <c r="O49" i="11"/>
  <c r="P49" i="11"/>
  <c r="Q49" i="11"/>
  <c r="T23" i="11"/>
  <c r="S23" i="11"/>
  <c r="T56" i="11"/>
  <c r="P63" i="11"/>
  <c r="Q63" i="11"/>
  <c r="T49" i="11"/>
  <c r="S55" i="11"/>
  <c r="S140" i="11"/>
  <c r="AF18" i="11"/>
  <c r="AL140" i="11"/>
  <c r="AG160" i="11"/>
  <c r="R160" i="11"/>
  <c r="AG170" i="11"/>
  <c r="R170" i="11"/>
  <c r="AG159" i="11"/>
  <c r="R159" i="11"/>
  <c r="P131" i="11"/>
  <c r="Q131" i="11"/>
  <c r="P136" i="11"/>
  <c r="Q136" i="11"/>
  <c r="S53" i="11"/>
  <c r="AG138" i="11"/>
  <c r="R138" i="11"/>
  <c r="S173" i="11"/>
  <c r="P35" i="11"/>
  <c r="Q35" i="11"/>
  <c r="O27" i="11"/>
  <c r="P27" i="11"/>
  <c r="Q27" i="11"/>
  <c r="AG167" i="11"/>
  <c r="AG86" i="11"/>
  <c r="R86" i="11"/>
  <c r="T37" i="11"/>
  <c r="S37" i="11"/>
  <c r="AL28" i="11"/>
  <c r="T28" i="11"/>
  <c r="S28" i="11"/>
  <c r="S45" i="11"/>
  <c r="P45" i="11"/>
  <c r="Q45" i="11"/>
  <c r="T92" i="11"/>
  <c r="S92" i="11"/>
  <c r="R92" i="11"/>
  <c r="S81" i="11"/>
  <c r="AG148" i="11"/>
  <c r="R148" i="11"/>
  <c r="S83" i="11"/>
  <c r="AG118" i="11"/>
  <c r="R118" i="11"/>
  <c r="AG152" i="11"/>
  <c r="R152" i="11"/>
  <c r="S143" i="11"/>
  <c r="T143" i="11"/>
  <c r="AG156" i="11"/>
  <c r="T156" i="11"/>
  <c r="S159" i="11"/>
  <c r="S162" i="11"/>
  <c r="AG120" i="11"/>
  <c r="R120" i="11"/>
  <c r="AG106" i="11"/>
  <c r="R106" i="11"/>
  <c r="T64" i="11"/>
  <c r="S64" i="11"/>
  <c r="P64" i="11"/>
  <c r="Q64" i="11"/>
  <c r="AG146" i="11"/>
  <c r="R146" i="11"/>
  <c r="P87" i="11"/>
  <c r="Q87" i="11"/>
  <c r="P104" i="11"/>
  <c r="Q104" i="11"/>
  <c r="O52" i="11"/>
  <c r="P52" i="11"/>
  <c r="Q52" i="11"/>
  <c r="AG102" i="11"/>
  <c r="T102" i="11"/>
  <c r="R35" i="11"/>
  <c r="P38" i="11"/>
  <c r="Q38" i="11"/>
  <c r="P86" i="11"/>
  <c r="Q86" i="11"/>
  <c r="S149" i="11"/>
  <c r="S27" i="11"/>
  <c r="S135" i="11"/>
  <c r="S131" i="11"/>
  <c r="P126" i="11"/>
  <c r="Q126" i="11"/>
  <c r="S126" i="11"/>
  <c r="AG126" i="11"/>
  <c r="R126" i="11"/>
  <c r="S78" i="11"/>
  <c r="P140" i="11"/>
  <c r="Q140" i="11"/>
  <c r="AG125" i="11"/>
  <c r="T125" i="11"/>
  <c r="S152" i="11"/>
  <c r="T147" i="11"/>
  <c r="S147" i="11"/>
  <c r="AG81" i="11"/>
  <c r="R81" i="11"/>
  <c r="S44" i="11"/>
  <c r="S151" i="11"/>
  <c r="T82" i="11"/>
  <c r="S82" i="11"/>
  <c r="T103" i="11"/>
  <c r="S103" i="11"/>
  <c r="AL103" i="11"/>
  <c r="P165" i="11"/>
  <c r="Q165" i="11"/>
  <c r="AG53" i="11"/>
  <c r="T53" i="11"/>
  <c r="AG65" i="11"/>
  <c r="S134" i="11"/>
  <c r="T134" i="11"/>
  <c r="P134" i="11"/>
  <c r="Q134" i="11"/>
  <c r="R134" i="11"/>
  <c r="P94" i="11"/>
  <c r="Q94" i="11"/>
  <c r="T94" i="11"/>
  <c r="S94" i="11"/>
  <c r="AG119" i="11"/>
  <c r="R119" i="11"/>
  <c r="S110" i="11"/>
  <c r="S156" i="11"/>
  <c r="P156" i="11"/>
  <c r="Q156" i="11"/>
  <c r="T171" i="11"/>
  <c r="S171" i="11"/>
  <c r="AL171" i="11"/>
  <c r="T174" i="11"/>
  <c r="S174" i="11"/>
  <c r="O47" i="11"/>
  <c r="P47" i="11"/>
  <c r="Q47" i="11"/>
  <c r="S40" i="11"/>
  <c r="T73" i="11"/>
  <c r="P93" i="11"/>
  <c r="Q93" i="11"/>
  <c r="P88" i="11"/>
  <c r="Q88" i="11"/>
  <c r="AG44" i="11"/>
  <c r="R44" i="11"/>
  <c r="P33" i="11"/>
  <c r="Q33" i="11"/>
  <c r="AG43" i="11"/>
  <c r="R43" i="11"/>
  <c r="P80" i="11"/>
  <c r="Q80" i="11"/>
  <c r="P40" i="11"/>
  <c r="Q40" i="11"/>
  <c r="O106" i="11"/>
  <c r="P106" i="11"/>
  <c r="Q106" i="11"/>
  <c r="O173" i="11"/>
  <c r="P173" i="11"/>
  <c r="Q173" i="11"/>
  <c r="T166" i="11"/>
  <c r="S166" i="11"/>
  <c r="R166" i="11"/>
  <c r="P166" i="11"/>
  <c r="Q166" i="11"/>
  <c r="T124" i="11"/>
  <c r="S124" i="11"/>
  <c r="R124" i="11"/>
  <c r="P124" i="11"/>
  <c r="Q124" i="11"/>
  <c r="S120" i="11"/>
  <c r="T120" i="11"/>
  <c r="AL120" i="11"/>
  <c r="T22" i="11"/>
  <c r="S22" i="11"/>
  <c r="S168" i="11"/>
  <c r="Y17" i="11"/>
  <c r="AG97" i="11"/>
  <c r="AG132" i="11"/>
  <c r="R132" i="11"/>
  <c r="AG27" i="11"/>
  <c r="R27" i="11"/>
  <c r="S43" i="11"/>
  <c r="AL96" i="11"/>
  <c r="S96" i="11"/>
  <c r="T96" i="11"/>
  <c r="AG139" i="11"/>
  <c r="R139" i="11"/>
  <c r="AG33" i="11"/>
  <c r="R33" i="11"/>
  <c r="AG115" i="11"/>
  <c r="R115" i="11"/>
  <c r="AG131" i="11"/>
  <c r="T131" i="11"/>
  <c r="S141" i="11"/>
  <c r="R51" i="11"/>
  <c r="O51" i="11"/>
  <c r="P51" i="11"/>
  <c r="Q51" i="11"/>
  <c r="AG26" i="11"/>
  <c r="R26" i="11"/>
  <c r="S38" i="11"/>
  <c r="S50" i="11"/>
  <c r="S79" i="11"/>
  <c r="AL79" i="11"/>
  <c r="T90" i="11"/>
  <c r="S90" i="11"/>
  <c r="AG165" i="11"/>
  <c r="R165" i="11"/>
  <c r="O67" i="11"/>
  <c r="P67" i="11"/>
  <c r="Q67" i="11"/>
  <c r="R67" i="11"/>
  <c r="P168" i="11"/>
  <c r="Q168" i="11"/>
  <c r="AG47" i="11"/>
  <c r="R47" i="11"/>
  <c r="P152" i="11"/>
  <c r="Q152" i="11"/>
  <c r="P125" i="11"/>
  <c r="Q125" i="11"/>
  <c r="T84" i="11"/>
  <c r="S84" i="11"/>
  <c r="T76" i="11"/>
  <c r="S76" i="11"/>
  <c r="S132" i="11"/>
  <c r="T132" i="11"/>
  <c r="S102" i="11"/>
  <c r="S153" i="11"/>
  <c r="S165" i="11"/>
  <c r="S144" i="11"/>
  <c r="S158" i="11"/>
  <c r="S21" i="11"/>
  <c r="AN19" i="11"/>
  <c r="T21" i="11"/>
  <c r="AG18" i="11"/>
  <c r="AL53" i="11"/>
  <c r="AN20" i="11"/>
  <c r="AN36" i="11"/>
  <c r="AF14" i="11"/>
  <c r="AN21" i="11"/>
  <c r="AN18" i="11"/>
  <c r="AP18" i="11"/>
  <c r="AN22" i="11"/>
  <c r="AG14" i="11"/>
  <c r="AN37" i="11"/>
  <c r="O103" i="11"/>
  <c r="P103" i="11"/>
  <c r="Q103" i="11"/>
  <c r="P82" i="11"/>
  <c r="Q82" i="11"/>
  <c r="P120" i="11"/>
  <c r="Q120" i="11"/>
  <c r="AG50" i="11"/>
  <c r="T50" i="11"/>
  <c r="O58" i="11"/>
  <c r="P58" i="11"/>
  <c r="Q58" i="11"/>
  <c r="AG98" i="11"/>
  <c r="R98" i="11"/>
  <c r="AG38" i="11"/>
  <c r="R38" i="11"/>
  <c r="AG133" i="11"/>
  <c r="R133" i="11"/>
  <c r="AG162" i="11"/>
  <c r="R162" i="11"/>
  <c r="P129" i="11"/>
  <c r="Q129" i="11"/>
  <c r="P155" i="11"/>
  <c r="Q155" i="11"/>
  <c r="R102" i="11"/>
  <c r="O122" i="11"/>
  <c r="P122" i="11"/>
  <c r="Q122" i="11"/>
  <c r="P71" i="11"/>
  <c r="Q71" i="11"/>
  <c r="AG107" i="11"/>
  <c r="R107" i="11"/>
  <c r="T47" i="11"/>
  <c r="S47" i="11"/>
  <c r="AG88" i="11"/>
  <c r="T88" i="11"/>
  <c r="S88" i="11"/>
  <c r="S26" i="11"/>
  <c r="AL26" i="11"/>
  <c r="T26" i="11"/>
  <c r="T85" i="11"/>
  <c r="S85" i="11"/>
  <c r="AL85" i="11"/>
  <c r="AG128" i="11"/>
  <c r="T128" i="11"/>
  <c r="P153" i="11"/>
  <c r="Q153" i="11"/>
  <c r="AG121" i="11"/>
  <c r="R121" i="11"/>
  <c r="AG117" i="11"/>
  <c r="T117" i="11"/>
  <c r="AG150" i="11"/>
  <c r="S48" i="11"/>
  <c r="T48" i="11"/>
  <c r="T100" i="11"/>
  <c r="AL100" i="11"/>
  <c r="S100" i="11"/>
  <c r="R100" i="11"/>
  <c r="T86" i="11"/>
  <c r="S86" i="11"/>
  <c r="T107" i="11"/>
  <c r="S107" i="11"/>
  <c r="AG141" i="11"/>
  <c r="T141" i="11"/>
  <c r="S128" i="11"/>
  <c r="P128" i="11"/>
  <c r="Q128" i="11"/>
  <c r="S133" i="11"/>
  <c r="AG111" i="11"/>
  <c r="R111" i="11"/>
  <c r="T114" i="11"/>
  <c r="S114" i="11"/>
  <c r="AL114" i="11"/>
  <c r="S116" i="11"/>
  <c r="AL116" i="11"/>
  <c r="T116" i="11"/>
  <c r="S137" i="11"/>
  <c r="S150" i="11"/>
  <c r="T150" i="11"/>
  <c r="R150" i="11"/>
  <c r="AG168" i="11"/>
  <c r="T168" i="11"/>
  <c r="P117" i="11"/>
  <c r="Q117" i="11"/>
  <c r="AG45" i="11"/>
  <c r="T45" i="11"/>
  <c r="S95" i="11"/>
  <c r="P95" i="11"/>
  <c r="Q95" i="11"/>
  <c r="P114" i="11"/>
  <c r="Q114" i="11"/>
  <c r="R41" i="11"/>
  <c r="R31" i="11"/>
  <c r="O34" i="11"/>
  <c r="P34" i="11"/>
  <c r="Q34" i="11"/>
  <c r="R34" i="11"/>
  <c r="P30" i="11"/>
  <c r="Q30" i="11"/>
  <c r="R40" i="11"/>
  <c r="S112" i="11"/>
  <c r="T105" i="11"/>
  <c r="S105" i="11"/>
  <c r="S125" i="11"/>
  <c r="AL136" i="11"/>
  <c r="T136" i="11"/>
  <c r="S136" i="11"/>
  <c r="S33" i="11"/>
  <c r="AL33" i="11"/>
  <c r="R125" i="11"/>
  <c r="AG75" i="11"/>
  <c r="T75" i="11"/>
  <c r="S75" i="11"/>
  <c r="T169" i="11"/>
  <c r="S169" i="11"/>
  <c r="S25" i="11"/>
  <c r="AL25" i="11"/>
  <c r="T71" i="11"/>
  <c r="S71" i="11"/>
  <c r="AL71" i="11"/>
  <c r="AG80" i="11"/>
  <c r="T80" i="11"/>
  <c r="S80" i="11"/>
  <c r="T142" i="11"/>
  <c r="S142" i="11"/>
  <c r="AG58" i="11"/>
  <c r="T58" i="11"/>
  <c r="S93" i="11"/>
  <c r="AG161" i="11"/>
  <c r="R161" i="11"/>
  <c r="P135" i="11"/>
  <c r="Q135" i="11"/>
  <c r="AG158" i="11"/>
  <c r="R158" i="11"/>
  <c r="O139" i="11"/>
  <c r="P139" i="11"/>
  <c r="Q139" i="11"/>
  <c r="O111" i="11"/>
  <c r="P111" i="11"/>
  <c r="Q111" i="11"/>
  <c r="AG87" i="11"/>
  <c r="R87" i="11"/>
  <c r="AG83" i="11"/>
  <c r="R83" i="11"/>
  <c r="AG63" i="11"/>
  <c r="R63" i="11"/>
  <c r="AG95" i="11"/>
  <c r="T95" i="11"/>
  <c r="T61" i="11"/>
  <c r="S61" i="11"/>
  <c r="AL61" i="11"/>
  <c r="R61" i="11"/>
  <c r="S24" i="11"/>
  <c r="T24" i="11"/>
  <c r="AL68" i="11"/>
  <c r="R68" i="11"/>
  <c r="P68" i="11"/>
  <c r="Q68" i="11"/>
  <c r="T68" i="11"/>
  <c r="S68" i="11"/>
  <c r="T39" i="11"/>
  <c r="S39" i="11"/>
  <c r="AL39" i="11"/>
  <c r="T87" i="11"/>
  <c r="S87" i="11"/>
  <c r="AL87" i="11"/>
  <c r="AL111" i="11"/>
  <c r="S111" i="11"/>
  <c r="AG144" i="11"/>
  <c r="T144" i="11"/>
  <c r="AL127" i="11"/>
  <c r="T127" i="11"/>
  <c r="S127" i="11"/>
  <c r="R127" i="11"/>
  <c r="AG173" i="11"/>
  <c r="T173" i="11"/>
  <c r="AG164" i="11"/>
  <c r="R164" i="11"/>
  <c r="S115" i="11"/>
  <c r="AL115" i="11"/>
  <c r="AL117" i="11"/>
  <c r="S117" i="11"/>
  <c r="S138" i="11"/>
  <c r="AL138" i="11"/>
  <c r="T138" i="11"/>
  <c r="AL164" i="11"/>
  <c r="T164" i="11"/>
  <c r="S164" i="11"/>
  <c r="T170" i="11"/>
  <c r="S170" i="11"/>
  <c r="S160" i="11"/>
  <c r="O43" i="11"/>
  <c r="P43" i="11"/>
  <c r="Q43" i="11"/>
  <c r="P36" i="11"/>
  <c r="Q36" i="11"/>
  <c r="AL91" i="11"/>
  <c r="S91" i="11"/>
  <c r="R114" i="11"/>
  <c r="P69" i="11"/>
  <c r="Q69" i="11"/>
  <c r="AG93" i="11"/>
  <c r="R93" i="11"/>
  <c r="AD30" i="11"/>
  <c r="AG30" i="11"/>
  <c r="R30" i="11"/>
  <c r="AG25" i="11"/>
  <c r="R25" i="11"/>
  <c r="P84" i="11"/>
  <c r="Q84" i="11"/>
  <c r="P24" i="11"/>
  <c r="Q24" i="11"/>
  <c r="P77" i="11"/>
  <c r="Q77" i="11"/>
  <c r="R169" i="11"/>
  <c r="O169" i="11"/>
  <c r="P169" i="11"/>
  <c r="Q169" i="11"/>
  <c r="S32" i="11"/>
  <c r="P32" i="11"/>
  <c r="Q32" i="11"/>
  <c r="T32" i="11"/>
  <c r="R32" i="11"/>
  <c r="AL32" i="11"/>
  <c r="AL63" i="11"/>
  <c r="S63" i="11"/>
  <c r="AG157" i="11"/>
  <c r="T157" i="11"/>
  <c r="S157" i="11"/>
  <c r="AG74" i="11"/>
  <c r="T74" i="11"/>
  <c r="AG130" i="11"/>
  <c r="R130" i="11"/>
  <c r="S161" i="11"/>
  <c r="S74" i="11"/>
  <c r="S148" i="11"/>
  <c r="AL148" i="11"/>
  <c r="P108" i="11"/>
  <c r="Q108" i="11"/>
  <c r="T108" i="11"/>
  <c r="S108" i="11"/>
  <c r="R108" i="11"/>
  <c r="P22" i="11"/>
  <c r="Q22" i="11"/>
  <c r="R22" i="11"/>
  <c r="AG113" i="11"/>
  <c r="R113" i="11"/>
  <c r="O144" i="11"/>
  <c r="P144" i="11"/>
  <c r="Q144" i="11"/>
  <c r="R74" i="11"/>
  <c r="AG135" i="11"/>
  <c r="T135" i="11"/>
  <c r="R157" i="11"/>
  <c r="R142" i="11"/>
  <c r="O142" i="11"/>
  <c r="P142" i="11"/>
  <c r="Q142" i="11"/>
  <c r="O138" i="11"/>
  <c r="P138" i="11"/>
  <c r="Q138" i="11"/>
  <c r="P146" i="11"/>
  <c r="Q146" i="11"/>
  <c r="P53" i="11"/>
  <c r="Q53" i="11"/>
  <c r="AL59" i="11"/>
  <c r="S59" i="11"/>
  <c r="AG91" i="11"/>
  <c r="T91" i="11"/>
  <c r="AG60" i="11"/>
  <c r="AL69" i="11"/>
  <c r="S69" i="11"/>
  <c r="AG69" i="11"/>
  <c r="T69" i="11"/>
  <c r="T65" i="11"/>
  <c r="S65" i="11"/>
  <c r="R65" i="11"/>
  <c r="AG153" i="11"/>
  <c r="R153" i="11"/>
  <c r="AL130" i="11"/>
  <c r="S130" i="11"/>
  <c r="AL109" i="11"/>
  <c r="S109" i="11"/>
  <c r="R109" i="11"/>
  <c r="T109" i="11"/>
  <c r="S121" i="11"/>
  <c r="AL121" i="11"/>
  <c r="S118" i="11"/>
  <c r="T118" i="11"/>
  <c r="S139" i="11"/>
  <c r="T167" i="11"/>
  <c r="S167" i="11"/>
  <c r="R167" i="11"/>
  <c r="AG70" i="11"/>
  <c r="S101" i="11"/>
  <c r="R101" i="11"/>
  <c r="AL101" i="11"/>
  <c r="T101" i="11"/>
  <c r="P101" i="11"/>
  <c r="Q101" i="11"/>
  <c r="AG137" i="11"/>
  <c r="R137" i="11"/>
  <c r="R28" i="11"/>
  <c r="P79" i="11"/>
  <c r="Q79" i="11"/>
  <c r="R105" i="11"/>
  <c r="AG57" i="11"/>
  <c r="R57" i="11"/>
  <c r="R24" i="11"/>
  <c r="P21" i="11"/>
  <c r="Q21" i="11"/>
  <c r="R23" i="11"/>
  <c r="R168" i="11"/>
  <c r="AG77" i="11"/>
  <c r="R77" i="11"/>
  <c r="S30" i="11"/>
  <c r="S146" i="11"/>
  <c r="AL146" i="11"/>
  <c r="AL98" i="11"/>
  <c r="S98" i="11"/>
  <c r="T98" i="11"/>
  <c r="P98" i="11"/>
  <c r="Q98" i="11"/>
  <c r="AL104" i="11"/>
  <c r="S104" i="11"/>
  <c r="T104" i="11"/>
  <c r="P161" i="11"/>
  <c r="Q161" i="11"/>
  <c r="R88" i="11"/>
  <c r="AL129" i="11"/>
  <c r="T129" i="11"/>
  <c r="S129" i="11"/>
  <c r="AL155" i="11"/>
  <c r="T155" i="11"/>
  <c r="S155" i="11"/>
  <c r="P151" i="11"/>
  <c r="Q151" i="11"/>
  <c r="O66" i="11"/>
  <c r="P66" i="11"/>
  <c r="Q66" i="11"/>
  <c r="R66" i="11"/>
  <c r="R71" i="11"/>
  <c r="AG72" i="11"/>
  <c r="T46" i="11"/>
  <c r="S46" i="11"/>
  <c r="O55" i="11"/>
  <c r="P55" i="11"/>
  <c r="Q55" i="11"/>
  <c r="R55" i="11"/>
  <c r="AG172" i="11"/>
  <c r="R172" i="11"/>
  <c r="AG112" i="11"/>
  <c r="R112" i="11"/>
  <c r="P149" i="11"/>
  <c r="Q149" i="11"/>
  <c r="AG123" i="11"/>
  <c r="R123" i="11"/>
  <c r="R75" i="11"/>
  <c r="AG78" i="11"/>
  <c r="R78" i="11"/>
  <c r="R80" i="11"/>
  <c r="AG52" i="11"/>
  <c r="T52" i="11"/>
  <c r="AL57" i="11"/>
  <c r="T57" i="11"/>
  <c r="S57" i="11"/>
  <c r="P57" i="11"/>
  <c r="Q57" i="11"/>
  <c r="P90" i="11"/>
  <c r="Q90" i="11"/>
  <c r="S113" i="11"/>
  <c r="T106" i="11"/>
  <c r="S106" i="11"/>
  <c r="S51" i="11"/>
  <c r="AL51" i="11"/>
  <c r="T51" i="11"/>
  <c r="S77" i="11"/>
  <c r="AL77" i="11"/>
  <c r="AL154" i="11"/>
  <c r="T154" i="11"/>
  <c r="S154" i="11"/>
  <c r="R154" i="11"/>
  <c r="T126" i="11"/>
  <c r="AG149" i="11"/>
  <c r="R149" i="11"/>
  <c r="AG110" i="11"/>
  <c r="R110" i="11"/>
  <c r="S122" i="11"/>
  <c r="AL122" i="11"/>
  <c r="S119" i="11"/>
  <c r="AL119" i="11"/>
  <c r="T145" i="11"/>
  <c r="S145" i="11"/>
  <c r="AL145" i="11"/>
  <c r="AL123" i="11"/>
  <c r="S123" i="11"/>
  <c r="S172" i="11"/>
  <c r="AL172" i="11"/>
  <c r="R90" i="11"/>
  <c r="AL36" i="11"/>
  <c r="S36" i="11"/>
  <c r="S89" i="11"/>
  <c r="T89" i="11"/>
  <c r="AG29" i="11"/>
  <c r="T34" i="11"/>
  <c r="S34" i="11"/>
  <c r="AL34" i="11"/>
  <c r="P171" i="11"/>
  <c r="Q171" i="11"/>
  <c r="T38" i="11"/>
  <c r="P96" i="11"/>
  <c r="Q96" i="11"/>
  <c r="AD14" i="11"/>
  <c r="AC14" i="11"/>
  <c r="AD17" i="11"/>
  <c r="AC17" i="11"/>
  <c r="P48" i="11"/>
  <c r="Q48" i="11"/>
  <c r="O25" i="11"/>
  <c r="P25" i="11"/>
  <c r="Q25" i="11"/>
  <c r="P105" i="11"/>
  <c r="Q105" i="11"/>
  <c r="R21" i="11"/>
  <c r="P23" i="11"/>
  <c r="Q23" i="11"/>
  <c r="T152" i="11"/>
  <c r="T159" i="11"/>
  <c r="T63" i="11"/>
  <c r="AL142" i="11"/>
  <c r="T33" i="11"/>
  <c r="AL86" i="11"/>
  <c r="AL21" i="11"/>
  <c r="AL153" i="11"/>
  <c r="R54" i="11"/>
  <c r="T59" i="11"/>
  <c r="AL102" i="11"/>
  <c r="AL37" i="11"/>
  <c r="AL35" i="11"/>
  <c r="AL90" i="11"/>
  <c r="AL82" i="11"/>
  <c r="T140" i="11"/>
  <c r="T79" i="11"/>
  <c r="AL43" i="11"/>
  <c r="AL81" i="11"/>
  <c r="R69" i="11"/>
  <c r="T43" i="11"/>
  <c r="AL89" i="11"/>
  <c r="AL167" i="11"/>
  <c r="T115" i="11"/>
  <c r="AL48" i="11"/>
  <c r="T139" i="11"/>
  <c r="AL160" i="11"/>
  <c r="AL125" i="11"/>
  <c r="AL95" i="11"/>
  <c r="T122" i="11"/>
  <c r="AL65" i="11"/>
  <c r="AL74" i="11"/>
  <c r="T113" i="11"/>
  <c r="AL139" i="11"/>
  <c r="AL161" i="11"/>
  <c r="AL169" i="11"/>
  <c r="AL105" i="11"/>
  <c r="AL133" i="11"/>
  <c r="AL47" i="11"/>
  <c r="AL158" i="11"/>
  <c r="AL94" i="11"/>
  <c r="T44" i="11"/>
  <c r="AL27" i="11"/>
  <c r="AL64" i="11"/>
  <c r="AL173" i="11"/>
  <c r="AL55" i="11"/>
  <c r="AL113" i="11"/>
  <c r="T36" i="11"/>
  <c r="AL46" i="11"/>
  <c r="AL170" i="11"/>
  <c r="AL84" i="11"/>
  <c r="AL147" i="11"/>
  <c r="T27" i="11"/>
  <c r="AL118" i="11"/>
  <c r="AL75" i="11"/>
  <c r="AL128" i="11"/>
  <c r="AL144" i="11"/>
  <c r="AL166" i="11"/>
  <c r="R53" i="11"/>
  <c r="T99" i="11"/>
  <c r="R99" i="11"/>
  <c r="T30" i="11"/>
  <c r="R144" i="11"/>
  <c r="AL112" i="11"/>
  <c r="AL150" i="11"/>
  <c r="AN33" i="11"/>
  <c r="T149" i="11"/>
  <c r="AL159" i="11"/>
  <c r="T165" i="11"/>
  <c r="R141" i="11"/>
  <c r="AL22" i="11"/>
  <c r="AL174" i="11"/>
  <c r="AL45" i="11"/>
  <c r="AR18" i="11"/>
  <c r="AT18" i="11"/>
  <c r="R14" i="11"/>
  <c r="R12" i="11"/>
  <c r="Q12" i="11"/>
  <c r="T81" i="11"/>
  <c r="T121" i="11"/>
  <c r="T93" i="11"/>
  <c r="R95" i="11"/>
  <c r="T137" i="11"/>
  <c r="R50" i="11"/>
  <c r="R131" i="11"/>
  <c r="T161" i="11"/>
  <c r="T160" i="11"/>
  <c r="AL93" i="11"/>
  <c r="T112" i="11"/>
  <c r="AL137" i="11"/>
  <c r="R128" i="11"/>
  <c r="R58" i="11"/>
  <c r="AL50" i="11"/>
  <c r="AL141" i="11"/>
  <c r="AN17" i="11"/>
  <c r="R173" i="11"/>
  <c r="AL40" i="11"/>
  <c r="AL23" i="11"/>
  <c r="AL24" i="11"/>
  <c r="AL29" i="11"/>
  <c r="AL30" i="11"/>
  <c r="AL31" i="11"/>
  <c r="AL38" i="11"/>
  <c r="AL41" i="11"/>
  <c r="AL42" i="11"/>
  <c r="AL44" i="11"/>
  <c r="AL49" i="11"/>
  <c r="AL52" i="11"/>
  <c r="AL54" i="11"/>
  <c r="AL56" i="11"/>
  <c r="AL58" i="11"/>
  <c r="AL60" i="11"/>
  <c r="AL62" i="11"/>
  <c r="AL66" i="11"/>
  <c r="AL67" i="11"/>
  <c r="AL70" i="11"/>
  <c r="AL72" i="11"/>
  <c r="AL73" i="11"/>
  <c r="AL76" i="11"/>
  <c r="AL78" i="11"/>
  <c r="AL80" i="11"/>
  <c r="AL83" i="11"/>
  <c r="AL88" i="11"/>
  <c r="AL92" i="11"/>
  <c r="AL97" i="11"/>
  <c r="AL99" i="11"/>
  <c r="AL106" i="11"/>
  <c r="AL107" i="11"/>
  <c r="AL108" i="11"/>
  <c r="AL110" i="11"/>
  <c r="AL124" i="11"/>
  <c r="AL126" i="11"/>
  <c r="AL131" i="11"/>
  <c r="AL132" i="11"/>
  <c r="AL134" i="11"/>
  <c r="AL135" i="11"/>
  <c r="AL143" i="11"/>
  <c r="AL149" i="11"/>
  <c r="AL151" i="11"/>
  <c r="AL152" i="11"/>
  <c r="AL156" i="11"/>
  <c r="AL157" i="11"/>
  <c r="AL162" i="11"/>
  <c r="AL163" i="11"/>
  <c r="AL165" i="11"/>
  <c r="AL168" i="11"/>
  <c r="AN30" i="11"/>
  <c r="R91" i="11"/>
  <c r="T77" i="11"/>
  <c r="R117" i="11"/>
  <c r="T25" i="11"/>
  <c r="T146" i="11"/>
  <c r="T111" i="11"/>
  <c r="AP20" i="11"/>
  <c r="AN23" i="11"/>
  <c r="AN28" i="11"/>
  <c r="AN24" i="11"/>
  <c r="T97" i="11"/>
  <c r="R97" i="11"/>
  <c r="T151" i="11"/>
  <c r="AN32" i="11"/>
  <c r="AH14" i="11"/>
  <c r="T12" i="11"/>
  <c r="S12" i="11"/>
  <c r="T14" i="11"/>
  <c r="T17" i="11"/>
  <c r="T13" i="11"/>
  <c r="T153" i="11"/>
  <c r="T119" i="11"/>
  <c r="T158" i="11"/>
  <c r="T172" i="11"/>
  <c r="R156" i="11"/>
  <c r="T29" i="11"/>
  <c r="R29" i="11"/>
  <c r="T123" i="11"/>
  <c r="AM4" i="11"/>
  <c r="AI18" i="11"/>
  <c r="T110" i="11"/>
  <c r="R45" i="11"/>
  <c r="T70" i="11"/>
  <c r="R70" i="11"/>
  <c r="T133" i="11"/>
  <c r="T72" i="11"/>
  <c r="R72" i="11"/>
  <c r="R60" i="11"/>
  <c r="T60" i="11"/>
  <c r="R135" i="11"/>
  <c r="T130" i="11"/>
  <c r="T148" i="11"/>
  <c r="AN34" i="11"/>
  <c r="AN38" i="11"/>
  <c r="AP19" i="11"/>
  <c r="AN27" i="11"/>
  <c r="T78" i="11"/>
  <c r="R52" i="11"/>
  <c r="T162" i="11"/>
  <c r="T83" i="11"/>
  <c r="AR20" i="11"/>
  <c r="AT20" i="11"/>
  <c r="AQ20" i="11"/>
  <c r="AS20" i="11"/>
  <c r="AU20" i="11"/>
  <c r="AO20" i="11"/>
  <c r="AM6" i="11"/>
  <c r="AO6" i="11"/>
  <c r="AM7" i="11"/>
  <c r="AO7" i="11"/>
  <c r="AM5" i="11"/>
  <c r="AO4" i="11"/>
  <c r="AH18" i="11"/>
  <c r="AK18" i="11"/>
  <c r="AJ18" i="11"/>
  <c r="AR19" i="11"/>
  <c r="AT19" i="11"/>
  <c r="AQ19" i="11"/>
  <c r="AS19" i="11"/>
  <c r="AU19" i="11"/>
  <c r="AO19" i="11"/>
  <c r="AI14" i="11"/>
  <c r="AN31" i="11"/>
  <c r="AF16" i="11"/>
  <c r="AN26" i="11"/>
  <c r="AQ18" i="11"/>
  <c r="AS18" i="11"/>
  <c r="AU18" i="11"/>
  <c r="AO18" i="11"/>
  <c r="AN25" i="11"/>
  <c r="AH16" i="11"/>
  <c r="AV18" i="11"/>
  <c r="AV25" i="11"/>
  <c r="AV20" i="11"/>
  <c r="AV24" i="11"/>
  <c r="AV19" i="11"/>
  <c r="AV23" i="11"/>
  <c r="AI16" i="11"/>
  <c r="AO5" i="11"/>
  <c r="AM8" i="11"/>
  <c r="AM9" i="11"/>
  <c r="AL18" i="11"/>
  <c r="AG16" i="11"/>
  <c r="A18" i="10"/>
  <c r="B18" i="10"/>
  <c r="B14" i="10"/>
  <c r="I21" i="10"/>
  <c r="I36" i="10"/>
  <c r="I18" i="10"/>
  <c r="I37" i="10"/>
  <c r="A14" i="10"/>
  <c r="I22" i="10"/>
  <c r="I20" i="10"/>
  <c r="I19" i="10"/>
  <c r="G173" i="10"/>
  <c r="G170" i="10"/>
  <c r="G172" i="10"/>
  <c r="G174" i="10"/>
  <c r="G171" i="10"/>
  <c r="I27" i="10"/>
  <c r="G106" i="10"/>
  <c r="G123" i="10"/>
  <c r="G135" i="10"/>
  <c r="G144" i="10"/>
  <c r="G156" i="10"/>
  <c r="G168" i="10"/>
  <c r="G149" i="10"/>
  <c r="G163" i="10"/>
  <c r="G164" i="10"/>
  <c r="G124" i="10"/>
  <c r="G145" i="10"/>
  <c r="G157" i="10"/>
  <c r="G169" i="10"/>
  <c r="G137" i="10"/>
  <c r="G129" i="10"/>
  <c r="G130" i="10"/>
  <c r="G140" i="10"/>
  <c r="G125" i="10"/>
  <c r="G146" i="10"/>
  <c r="G158" i="10"/>
  <c r="G161" i="10"/>
  <c r="G138" i="10"/>
  <c r="G126" i="10"/>
  <c r="G147" i="10"/>
  <c r="G159" i="10"/>
  <c r="G128" i="10"/>
  <c r="G139" i="10"/>
  <c r="G131" i="10"/>
  <c r="G127" i="10"/>
  <c r="G136" i="10"/>
  <c r="G148" i="10"/>
  <c r="G160" i="10"/>
  <c r="G162" i="10"/>
  <c r="G151" i="10"/>
  <c r="G152" i="10"/>
  <c r="G132" i="10"/>
  <c r="G141" i="10"/>
  <c r="G153" i="10"/>
  <c r="G165" i="10"/>
  <c r="G133" i="10"/>
  <c r="G142" i="10"/>
  <c r="G154" i="10"/>
  <c r="G166" i="10"/>
  <c r="G122" i="10"/>
  <c r="G134" i="10"/>
  <c r="G143" i="10"/>
  <c r="G155" i="10"/>
  <c r="G167" i="10"/>
  <c r="G150" i="10"/>
  <c r="G26" i="10"/>
  <c r="I34" i="10"/>
  <c r="I38" i="10"/>
  <c r="G83" i="10"/>
  <c r="G111" i="10"/>
  <c r="G74" i="10"/>
  <c r="G55" i="10"/>
  <c r="G30" i="10"/>
  <c r="G39" i="10"/>
  <c r="I24" i="10"/>
  <c r="G44" i="10"/>
  <c r="G94" i="10"/>
  <c r="G42" i="10"/>
  <c r="G46" i="10"/>
  <c r="G49" i="10"/>
  <c r="G104" i="10"/>
  <c r="G69" i="10"/>
  <c r="G52" i="10"/>
  <c r="G93" i="10"/>
  <c r="G57" i="10"/>
  <c r="G75" i="10"/>
  <c r="G84" i="10"/>
  <c r="G117" i="10"/>
  <c r="G36" i="10"/>
  <c r="G34" i="10"/>
  <c r="G105" i="10"/>
  <c r="G91" i="10"/>
  <c r="G24" i="10"/>
  <c r="G118" i="10"/>
  <c r="G61" i="10"/>
  <c r="G121" i="10"/>
  <c r="G50" i="10"/>
  <c r="G120" i="10"/>
  <c r="G89" i="10"/>
  <c r="G79" i="10"/>
  <c r="G97" i="10"/>
  <c r="G63" i="10"/>
  <c r="G71" i="10"/>
  <c r="G56" i="10"/>
  <c r="G65" i="10"/>
  <c r="G85" i="10"/>
  <c r="G21" i="10"/>
  <c r="G98" i="10"/>
  <c r="G102" i="10"/>
  <c r="G32" i="10"/>
  <c r="G78" i="10"/>
  <c r="G40" i="10"/>
  <c r="G76" i="10"/>
  <c r="G115" i="10"/>
  <c r="G112" i="10"/>
  <c r="G86" i="10"/>
  <c r="G64" i="10"/>
  <c r="G95" i="10"/>
  <c r="G35" i="10"/>
  <c r="G25" i="10"/>
  <c r="G59" i="10"/>
  <c r="G73" i="10"/>
  <c r="G29" i="10"/>
  <c r="G108" i="10"/>
  <c r="G96" i="10"/>
  <c r="G22" i="10"/>
  <c r="G99" i="10"/>
  <c r="G119" i="10"/>
  <c r="G23" i="10"/>
  <c r="G88" i="10"/>
  <c r="G72" i="10"/>
  <c r="G47" i="10"/>
  <c r="G28" i="10"/>
  <c r="G87" i="10"/>
  <c r="G27" i="10"/>
  <c r="G82" i="10"/>
  <c r="G109" i="10"/>
  <c r="G66" i="10"/>
  <c r="G68" i="10"/>
  <c r="G58" i="10"/>
  <c r="G62" i="10"/>
  <c r="G116" i="10"/>
  <c r="G70" i="10"/>
  <c r="G53" i="10"/>
  <c r="G90" i="10"/>
  <c r="G114" i="10"/>
  <c r="G103" i="10"/>
  <c r="G77" i="10"/>
  <c r="G37" i="10"/>
  <c r="G48" i="10"/>
  <c r="G100" i="10"/>
  <c r="G67" i="10"/>
  <c r="G92" i="10"/>
  <c r="G43" i="10"/>
  <c r="I23" i="10"/>
  <c r="D14" i="10"/>
  <c r="G45" i="10"/>
  <c r="G101" i="10"/>
  <c r="G33" i="10"/>
  <c r="G54" i="10"/>
  <c r="G51" i="10"/>
  <c r="G41" i="10"/>
  <c r="G81" i="10"/>
  <c r="G113" i="10"/>
  <c r="G110" i="10"/>
  <c r="G107" i="10"/>
  <c r="G60" i="10"/>
  <c r="G80" i="10"/>
  <c r="G38" i="10"/>
  <c r="G31" i="10"/>
  <c r="I28" i="10"/>
  <c r="I32" i="10"/>
  <c r="C14" i="10"/>
  <c r="I33" i="10"/>
  <c r="I26" i="10"/>
  <c r="B16" i="10"/>
  <c r="A16" i="10"/>
  <c r="I31" i="10"/>
  <c r="I30" i="10"/>
</calcChain>
</file>

<file path=xl/connections.xml><?xml version="1.0" encoding="utf-8"?>
<connections xmlns="http://schemas.openxmlformats.org/spreadsheetml/2006/main">
  <connection id="1" name="13C14N-12C14N11" type="6" refreshedVersion="4" background="1" saveData="1">
    <textPr codePage="850" sourceFile="E:\Users\Stryhanyuk\Manuscripts\Assimilation_Rate\Work\2BC10_1\dat\13C14N-12C14N.dac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13C14N-12C14N13111" type="6" refreshedVersion="4" background="1" saveData="1">
    <textPr codePage="850" sourceFile="E:\Users\Stryhanyuk\Manuscripts\Assimilation_Rate\Work\2BC10_1\dat\13C14N-12C14N.dac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13C14N-12C14N131111" type="6" refreshedVersion="4" background="1" saveData="1">
    <textPr codePage="850" sourceFile="E:\Users\Stryhanyuk\Manuscripts\Assimilation_Rate\Work\2BC10_1\dat\13C14N-12C14N.dac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13C14N-12C14N2" type="6" refreshedVersion="4" background="1" saveData="1">
    <textPr codePage="850" sourceFile="E:\Users\Stryhanyuk\Manuscripts\Assimilation_Rate\Work\2BC10_3\dat\13C14N-12C14N.dac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<sst xmlns="http://schemas.openxmlformats.org/spreadsheetml/2006/main" count="200" uniqueCount="167">
  <si>
    <t># i</t>
  </si>
  <si>
    <t>Xi</t>
  </si>
  <si>
    <t>Yi</t>
  </si>
  <si>
    <t>MEANi</t>
  </si>
  <si>
    <t>Poiss_Ei</t>
  </si>
  <si>
    <t>Poiss_%Ei</t>
  </si>
  <si>
    <t>SIZEi</t>
  </si>
  <si>
    <t>PIXELSi</t>
  </si>
  <si>
    <t>LWratio</t>
  </si>
  <si>
    <t>R'</t>
  </si>
  <si>
    <t>dR'</t>
  </si>
  <si>
    <t>Sp</t>
  </si>
  <si>
    <t>LWR</t>
  </si>
  <si>
    <t>Dch</t>
  </si>
  <si>
    <t>dDch</t>
  </si>
  <si>
    <t>dRi</t>
  </si>
  <si>
    <t>Ri</t>
  </si>
  <si>
    <t>da</t>
  </si>
  <si>
    <t>a</t>
  </si>
  <si>
    <t>Di</t>
  </si>
  <si>
    <t>dDi</t>
  </si>
  <si>
    <t>dRf/dK</t>
  </si>
  <si>
    <t>Df</t>
  </si>
  <si>
    <t>dDf</t>
  </si>
  <si>
    <t>FoV [µm]</t>
  </si>
  <si>
    <t>Rst [px]</t>
  </si>
  <si>
    <t>L</t>
  </si>
  <si>
    <t>W</t>
  </si>
  <si>
    <t>V</t>
  </si>
  <si>
    <t>dRo</t>
  </si>
  <si>
    <t>dt</t>
  </si>
  <si>
    <t>t [hours]</t>
  </si>
  <si>
    <t>mi</t>
  </si>
  <si>
    <t>ui</t>
  </si>
  <si>
    <t>[µm]</t>
  </si>
  <si>
    <t>[µm³]</t>
  </si>
  <si>
    <t>[fg]/cell</t>
  </si>
  <si>
    <t>[fg] assim</t>
  </si>
  <si>
    <t>1.2. Specify the size of analyzed Field of View (FoV)</t>
  </si>
  <si>
    <t>1.3. Specify the raster size in pixels</t>
  </si>
  <si>
    <t>The values used for the calculation</t>
  </si>
  <si>
    <t>2.2. Specify the incubation time (t) with ist error dt</t>
  </si>
  <si>
    <t>2.1. Specify the element-specific cellular density (Ro) with its error dRo</t>
  </si>
  <si>
    <t>Step 1 of 4 : input of nanoSIMS data with isotope ratio statistics</t>
  </si>
  <si>
    <t>Step 2 of 4 : input of cellular density and inc. time</t>
  </si>
  <si>
    <t>Assimilation rate</t>
  </si>
  <si>
    <t>3.1. Specify the fraction of heavy isotope (Dch) in chemicals used for threatment</t>
  </si>
  <si>
    <t>Step 3 of 4 : Correction for isotope dilition with fixatives etc.</t>
  </si>
  <si>
    <t>4.1. Specify the isotope fractionation factor (alpha) or set to "1" if unknown</t>
  </si>
  <si>
    <t>4.2. Specify the fraction of heavy isotope (Dmed) measured for medium solution</t>
  </si>
  <si>
    <t xml:space="preserve">4.3. Specify the initial fraction of heavy isotope in inoculum cells </t>
  </si>
  <si>
    <t>Attention!</t>
  </si>
  <si>
    <t>ONLY GREEN fields are to be modified</t>
  </si>
  <si>
    <t>Fv</t>
  </si>
  <si>
    <t>dFv</t>
  </si>
  <si>
    <t>[fg/(h·cell)]</t>
  </si>
  <si>
    <t>[fg/(h·µm³)]</t>
  </si>
  <si>
    <t>Fv mean</t>
  </si>
  <si>
    <t>D'</t>
  </si>
  <si>
    <t>dD'</t>
  </si>
  <si>
    <t>Fc mean</t>
  </si>
  <si>
    <t>dFc</t>
  </si>
  <si>
    <t>Fc</t>
  </si>
  <si>
    <t>Dgs</t>
  </si>
  <si>
    <t>dDgs</t>
  </si>
  <si>
    <t>Rgs</t>
  </si>
  <si>
    <t>dRgs</t>
  </si>
  <si>
    <r>
      <rPr>
        <b/>
        <i/>
        <sz val="16"/>
        <color theme="1"/>
        <rFont val="Calibri"/>
        <family val="2"/>
        <scheme val="minor"/>
      </rPr>
      <t>K</t>
    </r>
    <r>
      <rPr>
        <b/>
        <i/>
        <sz val="10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 xml:space="preserve"> mean</t>
    </r>
  </si>
  <si>
    <t xml:space="preserve"> [fg / µm³  / hour]</t>
  </si>
  <si>
    <t>[fg / cell / hour]</t>
  </si>
  <si>
    <t>1.1. Import the nano-SIMS data with isotope ratio statistics</t>
  </si>
  <si>
    <t>D' mean</t>
  </si>
  <si>
    <t>Df mean</t>
  </si>
  <si>
    <t xml:space="preserve">dD' </t>
  </si>
  <si>
    <t>12C14N/13C14N</t>
  </si>
  <si>
    <t>Df median</t>
  </si>
  <si>
    <r>
      <rPr>
        <b/>
        <i/>
        <sz val="16"/>
        <color theme="1"/>
        <rFont val="Calibri"/>
        <family val="2"/>
        <scheme val="minor"/>
      </rPr>
      <t>K</t>
    </r>
    <r>
      <rPr>
        <b/>
        <i/>
        <sz val="10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 xml:space="preserve"> median </t>
    </r>
  </si>
  <si>
    <t xml:space="preserve">Fc median     </t>
  </si>
  <si>
    <t xml:space="preserve">Fv median   </t>
  </si>
  <si>
    <t>3.2. Specify the fraction (Ki) of carbon introduced during the treatment. Ki=0 for nitrogen</t>
  </si>
  <si>
    <t>Ki</t>
  </si>
  <si>
    <t>dKi</t>
  </si>
  <si>
    <t>Ki - fraction of introduced carbon relatively to ist initial cellular content</t>
  </si>
  <si>
    <t>Q_0.5</t>
  </si>
  <si>
    <t>Q_0.16</t>
  </si>
  <si>
    <t>Q_0.84</t>
  </si>
  <si>
    <t>CV</t>
  </si>
  <si>
    <t>Skewness</t>
  </si>
  <si>
    <r>
      <t xml:space="preserve">Med </t>
    </r>
    <r>
      <rPr>
        <b/>
        <i/>
        <sz val="16"/>
        <color theme="1"/>
        <rFont val="Calibri"/>
        <family val="2"/>
        <scheme val="minor"/>
      </rPr>
      <t>dKA</t>
    </r>
  </si>
  <si>
    <t>Q_0.25</t>
  </si>
  <si>
    <t>Q_0.75</t>
  </si>
  <si>
    <t>CQD</t>
  </si>
  <si>
    <t>Q_0.1</t>
  </si>
  <si>
    <t>Q_0.9</t>
  </si>
  <si>
    <t>CH(16;84;SK)</t>
  </si>
  <si>
    <t>CV(Mean;SD)</t>
  </si>
  <si>
    <t>RCV(MAD;Q2;k)</t>
  </si>
  <si>
    <t>dDf median</t>
  </si>
  <si>
    <t xml:space="preserve">dFv median   </t>
  </si>
  <si>
    <t>Q_0.84-Q_0.16 (d13)</t>
  </si>
  <si>
    <t>N</t>
  </si>
  <si>
    <t>4.4. Specify the number N of pixel-avaraged ion counts with heavy and light isotopes</t>
  </si>
  <si>
    <t>N_heavy</t>
  </si>
  <si>
    <t>N_light</t>
  </si>
  <si>
    <t>Rf mean</t>
  </si>
  <si>
    <t xml:space="preserve">dRf </t>
  </si>
  <si>
    <t>CSE_heavy</t>
  </si>
  <si>
    <t>CSE_light</t>
  </si>
  <si>
    <t>CSV_Rf</t>
  </si>
  <si>
    <t>CSV_Df</t>
  </si>
  <si>
    <t>Rf_med</t>
  </si>
  <si>
    <t>Df_med</t>
  </si>
  <si>
    <t>CSV_Ka</t>
  </si>
  <si>
    <r>
      <t>CSV_K</t>
    </r>
    <r>
      <rPr>
        <b/>
        <i/>
        <sz val="11"/>
        <color theme="1"/>
        <rFont val="Calibri"/>
        <family val="2"/>
        <scheme val="minor"/>
      </rPr>
      <t>A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</si>
  <si>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 xml:space="preserve">_Ri 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</si>
  <si>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_Rf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</si>
  <si>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_Rgs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</si>
  <si>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_a</t>
    </r>
  </si>
  <si>
    <t>HCcorr(CSE)</t>
  </si>
  <si>
    <r>
      <t>R</t>
    </r>
    <r>
      <rPr>
        <i/>
        <sz val="16"/>
        <color theme="1"/>
        <rFont val="Calibri"/>
        <family val="2"/>
        <scheme val="minor"/>
      </rPr>
      <t>f</t>
    </r>
  </si>
  <si>
    <r>
      <t>dR</t>
    </r>
    <r>
      <rPr>
        <i/>
        <sz val="16"/>
        <color theme="1"/>
        <rFont val="Calibri"/>
        <family val="2"/>
        <scheme val="minor"/>
      </rPr>
      <t>f</t>
    </r>
  </si>
  <si>
    <r>
      <t>dRf/dR</t>
    </r>
    <r>
      <rPr>
        <i/>
        <sz val="16"/>
        <color theme="1"/>
        <rFont val="Calibri"/>
        <family val="2"/>
        <scheme val="minor"/>
      </rPr>
      <t>'</t>
    </r>
  </si>
  <si>
    <r>
      <t>dRf/dD</t>
    </r>
    <r>
      <rPr>
        <i/>
        <sz val="16"/>
        <color theme="1"/>
        <rFont val="Calibri"/>
        <family val="2"/>
        <scheme val="minor"/>
      </rPr>
      <t>ch</t>
    </r>
  </si>
  <si>
    <r>
      <t>[fg/(h</t>
    </r>
    <r>
      <rPr>
        <sz val="14"/>
        <color theme="1"/>
        <rFont val="Calibri"/>
        <family val="2"/>
      </rPr>
      <t>·</t>
    </r>
    <r>
      <rPr>
        <sz val="14"/>
        <color theme="1"/>
        <rFont val="Calibri"/>
        <family val="2"/>
        <scheme val="minor"/>
      </rPr>
      <t>µm³)]</t>
    </r>
  </si>
  <si>
    <r>
      <rPr>
        <b/>
        <i/>
        <sz val="14"/>
        <color theme="1"/>
        <rFont val="Calibri"/>
        <family val="2"/>
        <scheme val="minor"/>
      </rPr>
      <t>Ro</t>
    </r>
    <r>
      <rPr>
        <sz val="14"/>
        <color theme="1"/>
        <rFont val="Calibri"/>
        <family val="2"/>
        <scheme val="minor"/>
      </rPr>
      <t xml:space="preserve"> [fg/µm³]</t>
    </r>
  </si>
  <si>
    <t>HC(16-84)</t>
  </si>
  <si>
    <r>
      <rPr>
        <b/>
        <i/>
        <sz val="16"/>
        <color theme="1"/>
        <rFont val="Calibri"/>
        <family val="2"/>
        <scheme val="minor"/>
      </rPr>
      <t>dK</t>
    </r>
    <r>
      <rPr>
        <b/>
        <i/>
        <sz val="10"/>
        <color theme="1"/>
        <rFont val="Calibri"/>
        <family val="2"/>
        <scheme val="minor"/>
      </rPr>
      <t xml:space="preserve">A </t>
    </r>
    <r>
      <rPr>
        <b/>
        <i/>
        <sz val="16"/>
        <color theme="1"/>
        <rFont val="Calibri"/>
        <family val="2"/>
        <scheme val="minor"/>
      </rPr>
      <t>: sigma</t>
    </r>
  </si>
  <si>
    <r>
      <t>K</t>
    </r>
    <r>
      <rPr>
        <b/>
        <i/>
        <sz val="11"/>
        <color theme="1"/>
        <rFont val="Calibri"/>
        <family val="2"/>
        <scheme val="minor"/>
      </rPr>
      <t>A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</si>
  <si>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</si>
  <si>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/dR</t>
    </r>
    <r>
      <rPr>
        <i/>
        <sz val="16"/>
        <color theme="1"/>
        <rFont val="Calibri"/>
        <family val="2"/>
        <scheme val="minor"/>
      </rPr>
      <t>i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</si>
  <si>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/dR</t>
    </r>
    <r>
      <rPr>
        <i/>
        <sz val="16"/>
        <color theme="1"/>
        <rFont val="Calibri"/>
        <family val="2"/>
        <scheme val="minor"/>
      </rPr>
      <t>f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</si>
  <si>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/dRgs</t>
    </r>
  </si>
  <si>
    <r>
      <t>dK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/da</t>
    </r>
  </si>
  <si>
    <r>
      <t>Abs(K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-K</t>
    </r>
    <r>
      <rPr>
        <b/>
        <i/>
        <sz val="11"/>
        <color theme="1"/>
        <rFont val="Calibri"/>
        <family val="2"/>
        <scheme val="minor"/>
      </rPr>
      <t>A</t>
    </r>
    <r>
      <rPr>
        <b/>
        <i/>
        <sz val="16"/>
        <color theme="1"/>
        <rFont val="Calibri"/>
        <family val="2"/>
        <scheme val="minor"/>
      </rPr>
      <t>med)</t>
    </r>
  </si>
  <si>
    <t>Q_0.84-Q_0.16 : d (d13corr_CSE)</t>
  </si>
  <si>
    <t>Step 4 of 4 : Calculation of fraction (Ka) of assimilated material</t>
  </si>
  <si>
    <t>Heterogeneity quantitation</t>
  </si>
  <si>
    <t>COD(MAD;Q2)</t>
  </si>
  <si>
    <t>Heterogeneity index (min;max)</t>
  </si>
  <si>
    <t>Heterogeneity index (16;84)</t>
  </si>
  <si>
    <t>Heterogeneity index (10;90)</t>
  </si>
  <si>
    <t>Heterogeneity index (25;75)</t>
  </si>
  <si>
    <t>Rf</t>
  </si>
  <si>
    <t>Nheavy</t>
  </si>
  <si>
    <t>Nlight</t>
  </si>
  <si>
    <r>
      <rPr>
        <b/>
        <i/>
        <sz val="16"/>
        <color theme="1"/>
        <rFont val="Calibri"/>
        <family val="2"/>
        <scheme val="minor"/>
      </rPr>
      <t>k</t>
    </r>
    <r>
      <rPr>
        <i/>
        <sz val="16"/>
        <color theme="1"/>
        <rFont val="Calibri"/>
        <family val="2"/>
        <scheme val="minor"/>
      </rPr>
      <t>=</t>
    </r>
    <r>
      <rPr>
        <sz val="16"/>
        <color theme="1"/>
        <rFont val="Calibri"/>
        <family val="2"/>
        <scheme val="minor"/>
      </rPr>
      <t>0,67449</t>
    </r>
  </si>
  <si>
    <t>dHC/dQi</t>
  </si>
  <si>
    <r>
      <rPr>
        <b/>
        <i/>
        <sz val="18"/>
        <color theme="1"/>
        <rFont val="Symbol"/>
        <family val="1"/>
        <charset val="2"/>
      </rPr>
      <t>e</t>
    </r>
    <r>
      <rPr>
        <b/>
        <i/>
        <sz val="18"/>
        <color theme="1"/>
        <rFont val="Calibri"/>
        <family val="2"/>
        <scheme val="minor"/>
      </rPr>
      <t xml:space="preserve">  </t>
    </r>
    <r>
      <rPr>
        <sz val="18"/>
        <color theme="1"/>
        <rFont val="Calibri"/>
        <family val="2"/>
        <scheme val="minor"/>
      </rPr>
      <t xml:space="preserve">[1;-1]  </t>
    </r>
  </si>
  <si>
    <t>dQi(CSV)</t>
  </si>
  <si>
    <t xml:space="preserve">0,5*DW(Sk) </t>
  </si>
  <si>
    <t>dHCcorr/dQi</t>
  </si>
  <si>
    <t>HC(16-84;Sk)</t>
  </si>
  <si>
    <t>CSH(CSV_Ka)</t>
  </si>
  <si>
    <t>dHC(16-84;Sk)</t>
  </si>
  <si>
    <t>dHCcorr(16-84;Sk)</t>
  </si>
  <si>
    <t>0,5*(1+e*abs(Sk))</t>
  </si>
  <si>
    <r>
      <t xml:space="preserve">Paste the single-cell-resolved </t>
    </r>
    <r>
      <rPr>
        <b/>
        <sz val="20"/>
        <color theme="1"/>
        <rFont val="Calibri"/>
        <family val="2"/>
        <scheme val="minor"/>
      </rPr>
      <t xml:space="preserve">data </t>
    </r>
    <r>
      <rPr>
        <sz val="20"/>
        <color theme="1"/>
        <rFont val="Calibri"/>
        <family val="2"/>
        <scheme val="minor"/>
      </rPr>
      <t xml:space="preserve">and specify the </t>
    </r>
    <r>
      <rPr>
        <b/>
        <sz val="20"/>
        <color theme="1"/>
        <rFont val="Symbol"/>
        <family val="1"/>
        <charset val="2"/>
      </rPr>
      <t>e</t>
    </r>
    <r>
      <rPr>
        <b/>
        <sz val="20"/>
        <color theme="1"/>
        <rFont val="Calibri"/>
        <family val="2"/>
        <scheme val="minor"/>
      </rPr>
      <t>-value</t>
    </r>
    <r>
      <rPr>
        <sz val="20"/>
        <color theme="1"/>
        <rFont val="Calibri"/>
        <family val="2"/>
        <scheme val="minor"/>
      </rPr>
      <t xml:space="preserve"> in the </t>
    </r>
    <r>
      <rPr>
        <b/>
        <sz val="20"/>
        <color rgb="FF00B050"/>
        <rFont val="Calibri"/>
        <family val="2"/>
        <scheme val="minor"/>
      </rPr>
      <t>green-marked</t>
    </r>
    <r>
      <rPr>
        <sz val="20"/>
        <color theme="1"/>
        <rFont val="Calibri"/>
        <family val="2"/>
        <scheme val="minor"/>
      </rPr>
      <t xml:space="preserve"> fields </t>
    </r>
  </si>
  <si>
    <t>data mean</t>
  </si>
  <si>
    <r>
      <rPr>
        <b/>
        <i/>
        <sz val="16"/>
        <color theme="1"/>
        <rFont val="Calibri"/>
        <family val="2"/>
        <scheme val="minor"/>
      </rPr>
      <t>data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b/>
        <i/>
        <sz val="16"/>
        <color theme="1"/>
        <rFont val="Calibri"/>
        <family val="2"/>
        <scheme val="minor"/>
      </rPr>
      <t>: sigma</t>
    </r>
  </si>
  <si>
    <t xml:space="preserve">data median </t>
  </si>
  <si>
    <t>data</t>
  </si>
  <si>
    <t>d_data</t>
  </si>
  <si>
    <r>
      <t>Med d</t>
    </r>
    <r>
      <rPr>
        <b/>
        <i/>
        <sz val="16"/>
        <color theme="1"/>
        <rFont val="Calibri"/>
        <family val="2"/>
        <scheme val="minor"/>
      </rPr>
      <t>_data</t>
    </r>
  </si>
  <si>
    <r>
      <t>Abs(data-data_med</t>
    </r>
    <r>
      <rPr>
        <b/>
        <i/>
        <sz val="16"/>
        <color theme="1"/>
        <rFont val="Calibri"/>
        <family val="2"/>
        <scheme val="minor"/>
      </rPr>
      <t>)</t>
    </r>
  </si>
  <si>
    <t xml:space="preserve">0.5*DW(Sk) </t>
  </si>
  <si>
    <t>Supplementary Table_S1: Calculation of HC on nanoSIMS-data</t>
  </si>
  <si>
    <t>Supplementary Table_S1: Calculation of HC on single-cell-resolved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</si>
</sst>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0\ _€_-;\-* #,##0.00000\ _€_-;_-* &quot;-&quot;??\ _€_-;_-@_-"/>
    <numFmt numFmtId="166" formatCode="_-* #,##0.00000000\ _€_-;\-* #,##0.00000000\ _€_-;_-* &quot;-&quot;??\ _€_-;_-@_-"/>
    <numFmt numFmtId="167" formatCode="_-* #,##0.000\ _€_-;\-* #,##0.000\ _€_-;_-* &quot;-&quot;??\ _€_-;_-@_-"/>
    <numFmt numFmtId="168" formatCode="0.0000"/>
    <numFmt numFmtId="169" formatCode="_-* #,##0.0000\ _€_-;\-* #,##0.0000\ _€_-;_-* &quot;-&quot;??\ _€_-;_-@_-"/>
    <numFmt numFmtId="170" formatCode="0.00000"/>
    <numFmt numFmtId="171" formatCode="0.000"/>
    <numFmt numFmtId="172" formatCode="0.000000"/>
    <numFmt numFmtId="173" formatCode="_-* #,##0.00000\ _€_-;\-* #,##0.00000\ _€_-;_-* &quot;-&quot;???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Symbol"/>
      <family val="1"/>
      <charset val="2"/>
    </font>
    <font>
      <b/>
      <sz val="20"/>
      <color rgb="FF00B050"/>
      <name val="Calibri"/>
      <family val="2"/>
      <scheme val="minor"/>
    </font>
    <font>
      <b/>
      <sz val="2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81DF81"/>
        <bgColor indexed="64"/>
      </patternFill>
    </fill>
    <fill>
      <patternFill patternType="solid">
        <fgColor rgb="FFD8CAD7"/>
        <bgColor indexed="64"/>
      </patternFill>
    </fill>
    <fill>
      <patternFill patternType="solid">
        <fgColor rgb="FFEAE2E9"/>
        <bgColor indexed="64"/>
      </patternFill>
    </fill>
    <fill>
      <patternFill patternType="solid">
        <fgColor rgb="FFAFFBAF"/>
        <bgColor indexed="64"/>
      </patternFill>
    </fill>
    <fill>
      <patternFill patternType="solid">
        <fgColor rgb="FFE1D7E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2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0" fontId="3" fillId="0" borderId="0" xfId="0" applyFont="1" applyAlignment="1">
      <alignment horizontal="right"/>
    </xf>
    <xf numFmtId="43" fontId="3" fillId="0" borderId="0" xfId="1" applyFont="1" applyAlignment="1">
      <alignment horizontal="center"/>
    </xf>
    <xf numFmtId="0" fontId="0" fillId="0" borderId="0" xfId="0" applyFill="1"/>
    <xf numFmtId="0" fontId="0" fillId="3" borderId="0" xfId="0" applyFill="1"/>
    <xf numFmtId="43" fontId="0" fillId="0" borderId="0" xfId="1" applyFont="1" applyFill="1"/>
    <xf numFmtId="0" fontId="0" fillId="4" borderId="0" xfId="0" applyFill="1"/>
    <xf numFmtId="164" fontId="5" fillId="0" borderId="0" xfId="1" applyNumberFormat="1" applyFont="1"/>
    <xf numFmtId="164" fontId="6" fillId="0" borderId="0" xfId="1" applyNumberFormat="1" applyFont="1"/>
    <xf numFmtId="0" fontId="6" fillId="0" borderId="0" xfId="0" applyFont="1"/>
    <xf numFmtId="43" fontId="11" fillId="0" borderId="0" xfId="1" applyFont="1" applyFill="1" applyBorder="1" applyAlignment="1">
      <alignment horizontal="center"/>
    </xf>
    <xf numFmtId="43" fontId="10" fillId="0" borderId="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/>
    </xf>
    <xf numFmtId="43" fontId="0" fillId="0" borderId="0" xfId="1" applyFont="1" applyFill="1" applyBorder="1"/>
    <xf numFmtId="167" fontId="0" fillId="0" borderId="0" xfId="1" applyNumberFormat="1" applyFont="1"/>
    <xf numFmtId="167" fontId="11" fillId="9" borderId="3" xfId="1" applyNumberFormat="1" applyFont="1" applyFill="1" applyBorder="1" applyAlignment="1">
      <alignment horizontal="center"/>
    </xf>
    <xf numFmtId="167" fontId="10" fillId="9" borderId="8" xfId="1" applyNumberFormat="1" applyFont="1" applyFill="1" applyBorder="1" applyAlignment="1">
      <alignment horizontal="center"/>
    </xf>
    <xf numFmtId="167" fontId="0" fillId="0" borderId="5" xfId="1" applyNumberFormat="1" applyFont="1" applyBorder="1"/>
    <xf numFmtId="167" fontId="0" fillId="4" borderId="0" xfId="1" applyNumberFormat="1" applyFont="1" applyFill="1" applyBorder="1"/>
    <xf numFmtId="167" fontId="11" fillId="7" borderId="1" xfId="1" applyNumberFormat="1" applyFont="1" applyFill="1" applyBorder="1" applyAlignment="1">
      <alignment horizontal="right"/>
    </xf>
    <xf numFmtId="167" fontId="9" fillId="7" borderId="9" xfId="1" applyNumberFormat="1" applyFont="1" applyFill="1" applyBorder="1" applyAlignment="1">
      <alignment horizontal="left"/>
    </xf>
    <xf numFmtId="167" fontId="0" fillId="0" borderId="1" xfId="1" applyNumberFormat="1" applyFont="1" applyBorder="1"/>
    <xf numFmtId="165" fontId="2" fillId="0" borderId="0" xfId="1" applyNumberFormat="1" applyFont="1"/>
    <xf numFmtId="170" fontId="0" fillId="0" borderId="0" xfId="0" applyNumberFormat="1"/>
    <xf numFmtId="165" fontId="10" fillId="0" borderId="0" xfId="1" applyNumberFormat="1" applyFont="1" applyFill="1"/>
    <xf numFmtId="167" fontId="9" fillId="7" borderId="0" xfId="1" applyNumberFormat="1" applyFont="1" applyFill="1"/>
    <xf numFmtId="167" fontId="11" fillId="11" borderId="1" xfId="1" applyNumberFormat="1" applyFont="1" applyFill="1" applyBorder="1" applyAlignment="1">
      <alignment horizontal="center"/>
    </xf>
    <xf numFmtId="167" fontId="11" fillId="11" borderId="3" xfId="1" applyNumberFormat="1" applyFont="1" applyFill="1" applyBorder="1" applyAlignment="1">
      <alignment horizontal="center"/>
    </xf>
    <xf numFmtId="167" fontId="10" fillId="11" borderId="6" xfId="1" applyNumberFormat="1" applyFont="1" applyFill="1" applyBorder="1" applyAlignment="1">
      <alignment horizontal="center"/>
    </xf>
    <xf numFmtId="167" fontId="10" fillId="11" borderId="8" xfId="1" applyNumberFormat="1" applyFont="1" applyFill="1" applyBorder="1" applyAlignment="1">
      <alignment horizontal="center"/>
    </xf>
    <xf numFmtId="167" fontId="11" fillId="11" borderId="1" xfId="1" applyNumberFormat="1" applyFont="1" applyFill="1" applyBorder="1" applyAlignment="1">
      <alignment horizontal="right"/>
    </xf>
    <xf numFmtId="167" fontId="9" fillId="11" borderId="9" xfId="1" applyNumberFormat="1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12" borderId="0" xfId="0" applyFill="1"/>
    <xf numFmtId="0" fontId="11" fillId="3" borderId="15" xfId="0" applyFont="1" applyFill="1" applyBorder="1" applyAlignment="1">
      <alignment horizontal="center"/>
    </xf>
    <xf numFmtId="0" fontId="16" fillId="6" borderId="0" xfId="0" applyFont="1" applyFill="1" applyAlignment="1">
      <alignment horizontal="right"/>
    </xf>
    <xf numFmtId="43" fontId="11" fillId="3" borderId="0" xfId="1" applyFont="1" applyFill="1" applyAlignment="1">
      <alignment horizontal="center"/>
    </xf>
    <xf numFmtId="167" fontId="11" fillId="4" borderId="0" xfId="1" applyNumberFormat="1" applyFont="1" applyFill="1" applyBorder="1" applyAlignment="1">
      <alignment horizontal="center"/>
    </xf>
    <xf numFmtId="164" fontId="9" fillId="3" borderId="0" xfId="1" applyNumberFormat="1" applyFont="1" applyFill="1"/>
    <xf numFmtId="43" fontId="10" fillId="3" borderId="0" xfId="1" applyFont="1" applyFill="1"/>
    <xf numFmtId="165" fontId="11" fillId="3" borderId="0" xfId="1" applyNumberFormat="1" applyFont="1" applyFill="1" applyAlignment="1">
      <alignment horizontal="center"/>
    </xf>
    <xf numFmtId="166" fontId="11" fillId="3" borderId="0" xfId="1" applyNumberFormat="1" applyFont="1" applyFill="1" applyAlignment="1">
      <alignment horizontal="center"/>
    </xf>
    <xf numFmtId="165" fontId="10" fillId="3" borderId="0" xfId="1" applyNumberFormat="1" applyFont="1" applyFill="1" applyAlignment="1">
      <alignment horizontal="center"/>
    </xf>
    <xf numFmtId="43" fontId="10" fillId="3" borderId="0" xfId="1" applyFont="1" applyFill="1" applyAlignment="1">
      <alignment horizontal="center"/>
    </xf>
    <xf numFmtId="167" fontId="15" fillId="4" borderId="5" xfId="1" applyNumberFormat="1" applyFont="1" applyFill="1" applyBorder="1" applyAlignment="1">
      <alignment horizontal="center"/>
    </xf>
    <xf numFmtId="167" fontId="15" fillId="4" borderId="0" xfId="1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right"/>
    </xf>
    <xf numFmtId="0" fontId="16" fillId="6" borderId="6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170" fontId="15" fillId="10" borderId="5" xfId="0" applyNumberFormat="1" applyFont="1" applyFill="1" applyBorder="1" applyAlignment="1">
      <alignment horizontal="left"/>
    </xf>
    <xf numFmtId="170" fontId="15" fillId="10" borderId="8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right"/>
    </xf>
    <xf numFmtId="0" fontId="9" fillId="8" borderId="10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right"/>
    </xf>
    <xf numFmtId="0" fontId="16" fillId="11" borderId="4" xfId="0" applyFont="1" applyFill="1" applyBorder="1" applyAlignment="1">
      <alignment horizontal="right"/>
    </xf>
    <xf numFmtId="0" fontId="16" fillId="11" borderId="6" xfId="0" applyFont="1" applyFill="1" applyBorder="1" applyAlignment="1">
      <alignment horizontal="right"/>
    </xf>
    <xf numFmtId="170" fontId="10" fillId="12" borderId="3" xfId="0" applyNumberFormat="1" applyFont="1" applyFill="1" applyBorder="1" applyAlignment="1">
      <alignment horizontal="left"/>
    </xf>
    <xf numFmtId="170" fontId="10" fillId="12" borderId="5" xfId="0" applyNumberFormat="1" applyFont="1" applyFill="1" applyBorder="1" applyAlignment="1">
      <alignment horizontal="left"/>
    </xf>
    <xf numFmtId="1" fontId="10" fillId="12" borderId="5" xfId="0" applyNumberFormat="1" applyFont="1" applyFill="1" applyBorder="1" applyAlignment="1">
      <alignment horizontal="left"/>
    </xf>
    <xf numFmtId="0" fontId="16" fillId="11" borderId="2" xfId="0" applyFont="1" applyFill="1" applyBorder="1" applyAlignment="1">
      <alignment horizontal="right"/>
    </xf>
    <xf numFmtId="0" fontId="16" fillId="11" borderId="0" xfId="0" applyFont="1" applyFill="1" applyAlignment="1">
      <alignment horizontal="right"/>
    </xf>
    <xf numFmtId="0" fontId="9" fillId="11" borderId="13" xfId="0" applyFont="1" applyFill="1" applyBorder="1"/>
    <xf numFmtId="0" fontId="9" fillId="11" borderId="11" xfId="0" applyFont="1" applyFill="1" applyBorder="1" applyAlignment="1">
      <alignment horizontal="left"/>
    </xf>
    <xf numFmtId="0" fontId="9" fillId="11" borderId="14" xfId="0" applyFont="1" applyFill="1" applyBorder="1" applyAlignment="1">
      <alignment horizontal="left"/>
    </xf>
    <xf numFmtId="0" fontId="9" fillId="11" borderId="13" xfId="0" applyFont="1" applyFill="1" applyBorder="1" applyAlignment="1">
      <alignment horizontal="left"/>
    </xf>
    <xf numFmtId="0" fontId="0" fillId="11" borderId="0" xfId="0" applyFill="1"/>
    <xf numFmtId="170" fontId="10" fillId="12" borderId="13" xfId="0" applyNumberFormat="1" applyFont="1" applyFill="1" applyBorder="1" applyAlignment="1">
      <alignment horizontal="right"/>
    </xf>
    <xf numFmtId="170" fontId="10" fillId="12" borderId="12" xfId="0" applyNumberFormat="1" applyFont="1" applyFill="1" applyBorder="1" applyAlignment="1">
      <alignment horizontal="right"/>
    </xf>
    <xf numFmtId="170" fontId="10" fillId="12" borderId="13" xfId="0" applyNumberFormat="1" applyFont="1" applyFill="1" applyBorder="1"/>
    <xf numFmtId="170" fontId="10" fillId="12" borderId="11" xfId="0" applyNumberFormat="1" applyFont="1" applyFill="1" applyBorder="1"/>
    <xf numFmtId="0" fontId="16" fillId="4" borderId="1" xfId="0" applyFont="1" applyFill="1" applyBorder="1" applyAlignment="1">
      <alignment horizontal="right"/>
    </xf>
    <xf numFmtId="0" fontId="15" fillId="4" borderId="6" xfId="0" applyFont="1" applyFill="1" applyBorder="1"/>
    <xf numFmtId="0" fontId="11" fillId="7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right"/>
    </xf>
    <xf numFmtId="43" fontId="7" fillId="3" borderId="1" xfId="1" applyFont="1" applyFill="1" applyBorder="1"/>
    <xf numFmtId="43" fontId="15" fillId="2" borderId="3" xfId="1" applyNumberFormat="1" applyFont="1" applyFill="1" applyBorder="1"/>
    <xf numFmtId="43" fontId="16" fillId="3" borderId="4" xfId="1" applyFont="1" applyFill="1" applyBorder="1"/>
    <xf numFmtId="43" fontId="15" fillId="2" borderId="5" xfId="1" applyFont="1" applyFill="1" applyBorder="1"/>
    <xf numFmtId="43" fontId="15" fillId="3" borderId="6" xfId="1" applyFont="1" applyFill="1" applyBorder="1"/>
    <xf numFmtId="43" fontId="15" fillId="2" borderId="8" xfId="1" applyFont="1" applyFill="1" applyBorder="1"/>
    <xf numFmtId="43" fontId="16" fillId="3" borderId="1" xfId="1" applyFont="1" applyFill="1" applyBorder="1"/>
    <xf numFmtId="43" fontId="15" fillId="2" borderId="3" xfId="1" applyFont="1" applyFill="1" applyBorder="1"/>
    <xf numFmtId="43" fontId="16" fillId="3" borderId="6" xfId="1" applyFont="1" applyFill="1" applyBorder="1"/>
    <xf numFmtId="165" fontId="9" fillId="8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/>
    <xf numFmtId="43" fontId="13" fillId="0" borderId="0" xfId="1" applyFont="1" applyFill="1" applyBorder="1" applyAlignment="1">
      <alignment horizontal="center"/>
    </xf>
    <xf numFmtId="43" fontId="6" fillId="0" borderId="0" xfId="1" applyFont="1"/>
    <xf numFmtId="43" fontId="15" fillId="0" borderId="0" xfId="1" applyFont="1"/>
    <xf numFmtId="43" fontId="19" fillId="0" borderId="0" xfId="1" applyFont="1" applyFill="1"/>
    <xf numFmtId="164" fontId="9" fillId="0" borderId="0" xfId="1" applyNumberFormat="1" applyFont="1" applyFill="1"/>
    <xf numFmtId="0" fontId="16" fillId="11" borderId="0" xfId="0" applyFont="1" applyFill="1" applyBorder="1" applyAlignment="1">
      <alignment horizontal="right"/>
    </xf>
    <xf numFmtId="43" fontId="11" fillId="7" borderId="3" xfId="1" applyFont="1" applyFill="1" applyBorder="1" applyAlignment="1">
      <alignment horizontal="center"/>
    </xf>
    <xf numFmtId="43" fontId="11" fillId="7" borderId="11" xfId="1" applyFont="1" applyFill="1" applyBorder="1" applyAlignment="1">
      <alignment horizontal="center"/>
    </xf>
    <xf numFmtId="43" fontId="11" fillId="9" borderId="11" xfId="1" applyFont="1" applyFill="1" applyBorder="1" applyAlignment="1">
      <alignment horizontal="center"/>
    </xf>
    <xf numFmtId="165" fontId="10" fillId="9" borderId="12" xfId="1" applyNumberFormat="1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167" fontId="11" fillId="9" borderId="11" xfId="1" applyNumberFormat="1" applyFont="1" applyFill="1" applyBorder="1" applyAlignment="1">
      <alignment horizontal="center"/>
    </xf>
    <xf numFmtId="167" fontId="10" fillId="9" borderId="12" xfId="1" applyNumberFormat="1" applyFont="1" applyFill="1" applyBorder="1" applyAlignment="1">
      <alignment horizontal="center"/>
    </xf>
    <xf numFmtId="0" fontId="16" fillId="4" borderId="7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right"/>
    </xf>
    <xf numFmtId="0" fontId="3" fillId="9" borderId="11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/>
    </xf>
    <xf numFmtId="170" fontId="10" fillId="9" borderId="14" xfId="0" applyNumberFormat="1" applyFont="1" applyFill="1" applyBorder="1" applyAlignment="1">
      <alignment horizontal="center"/>
    </xf>
    <xf numFmtId="170" fontId="10" fillId="9" borderId="5" xfId="0" applyNumberFormat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11" borderId="9" xfId="0" applyFont="1" applyFill="1" applyBorder="1"/>
    <xf numFmtId="0" fontId="9" fillId="11" borderId="3" xfId="0" applyFont="1" applyFill="1" applyBorder="1" applyAlignment="1">
      <alignment horizontal="left"/>
    </xf>
    <xf numFmtId="170" fontId="9" fillId="8" borderId="14" xfId="0" applyNumberFormat="1" applyFont="1" applyFill="1" applyBorder="1" applyAlignment="1">
      <alignment horizontal="center"/>
    </xf>
    <xf numFmtId="173" fontId="10" fillId="7" borderId="8" xfId="0" applyNumberFormat="1" applyFont="1" applyFill="1" applyBorder="1" applyAlignment="1">
      <alignment horizontal="left"/>
    </xf>
    <xf numFmtId="165" fontId="10" fillId="7" borderId="12" xfId="1" applyNumberFormat="1" applyFont="1" applyFill="1" applyBorder="1"/>
    <xf numFmtId="0" fontId="11" fillId="4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43" fontId="0" fillId="3" borderId="8" xfId="1" applyFont="1" applyFill="1" applyBorder="1"/>
    <xf numFmtId="43" fontId="0" fillId="3" borderId="11" xfId="1" applyFont="1" applyFill="1" applyBorder="1"/>
    <xf numFmtId="43" fontId="11" fillId="3" borderId="14" xfId="1" applyFont="1" applyFill="1" applyBorder="1" applyAlignment="1">
      <alignment horizontal="center"/>
    </xf>
    <xf numFmtId="43" fontId="0" fillId="3" borderId="12" xfId="1" applyFont="1" applyFill="1" applyBorder="1"/>
    <xf numFmtId="165" fontId="0" fillId="4" borderId="11" xfId="1" applyNumberFormat="1" applyFont="1" applyFill="1" applyBorder="1"/>
    <xf numFmtId="165" fontId="11" fillId="4" borderId="14" xfId="1" applyNumberFormat="1" applyFont="1" applyFill="1" applyBorder="1" applyAlignment="1">
      <alignment horizontal="center"/>
    </xf>
    <xf numFmtId="165" fontId="0" fillId="4" borderId="12" xfId="1" applyNumberFormat="1" applyFont="1" applyFill="1" applyBorder="1"/>
    <xf numFmtId="43" fontId="0" fillId="4" borderId="11" xfId="1" applyFont="1" applyFill="1" applyBorder="1"/>
    <xf numFmtId="43" fontId="11" fillId="4" borderId="14" xfId="1" applyFont="1" applyFill="1" applyBorder="1" applyAlignment="1">
      <alignment horizontal="center"/>
    </xf>
    <xf numFmtId="43" fontId="0" fillId="4" borderId="12" xfId="1" applyFont="1" applyFill="1" applyBorder="1"/>
    <xf numFmtId="0" fontId="0" fillId="3" borderId="12" xfId="0" applyFill="1" applyBorder="1"/>
    <xf numFmtId="169" fontId="10" fillId="7" borderId="14" xfId="1" applyNumberFormat="1" applyFont="1" applyFill="1" applyBorder="1"/>
    <xf numFmtId="169" fontId="10" fillId="7" borderId="5" xfId="1" applyNumberFormat="1" applyFont="1" applyFill="1" applyBorder="1"/>
    <xf numFmtId="170" fontId="10" fillId="7" borderId="14" xfId="0" applyNumberFormat="1" applyFont="1" applyFill="1" applyBorder="1" applyAlignment="1">
      <alignment horizontal="center"/>
    </xf>
    <xf numFmtId="0" fontId="0" fillId="3" borderId="11" xfId="0" applyFill="1" applyBorder="1"/>
    <xf numFmtId="0" fontId="11" fillId="3" borderId="14" xfId="0" applyFont="1" applyFill="1" applyBorder="1" applyAlignment="1">
      <alignment horizontal="center"/>
    </xf>
    <xf numFmtId="167" fontId="0" fillId="4" borderId="8" xfId="1" applyNumberFormat="1" applyFont="1" applyFill="1" applyBorder="1"/>
    <xf numFmtId="167" fontId="11" fillId="4" borderId="14" xfId="1" applyNumberFormat="1" applyFont="1" applyFill="1" applyBorder="1" applyAlignment="1">
      <alignment horizontal="center"/>
    </xf>
    <xf numFmtId="167" fontId="15" fillId="4" borderId="14" xfId="1" applyNumberFormat="1" applyFont="1" applyFill="1" applyBorder="1" applyAlignment="1">
      <alignment horizontal="center"/>
    </xf>
    <xf numFmtId="167" fontId="0" fillId="4" borderId="12" xfId="1" applyNumberFormat="1" applyFont="1" applyFill="1" applyBorder="1"/>
    <xf numFmtId="43" fontId="11" fillId="3" borderId="3" xfId="1" applyFont="1" applyFill="1" applyBorder="1" applyAlignment="1">
      <alignment horizontal="center"/>
    </xf>
    <xf numFmtId="43" fontId="15" fillId="3" borderId="5" xfId="1" applyFont="1" applyFill="1" applyBorder="1" applyAlignment="1">
      <alignment horizontal="center"/>
    </xf>
    <xf numFmtId="167" fontId="11" fillId="4" borderId="3" xfId="1" applyNumberFormat="1" applyFont="1" applyFill="1" applyBorder="1" applyAlignment="1">
      <alignment horizontal="center"/>
    </xf>
    <xf numFmtId="167" fontId="11" fillId="4" borderId="11" xfId="1" applyNumberFormat="1" applyFont="1" applyFill="1" applyBorder="1" applyAlignment="1">
      <alignment horizontal="center"/>
    </xf>
    <xf numFmtId="43" fontId="11" fillId="3" borderId="11" xfId="1" applyFont="1" applyFill="1" applyBorder="1" applyAlignment="1">
      <alignment horizontal="center"/>
    </xf>
    <xf numFmtId="43" fontId="15" fillId="3" borderId="14" xfId="1" applyFont="1" applyFill="1" applyBorder="1" applyAlignment="1">
      <alignment horizontal="center"/>
    </xf>
    <xf numFmtId="168" fontId="15" fillId="3" borderId="2" xfId="0" applyNumberFormat="1" applyFont="1" applyFill="1" applyBorder="1"/>
    <xf numFmtId="172" fontId="15" fillId="3" borderId="0" xfId="0" applyNumberFormat="1" applyFont="1" applyFill="1" applyBorder="1"/>
    <xf numFmtId="168" fontId="15" fillId="3" borderId="0" xfId="0" applyNumberFormat="1" applyFont="1" applyFill="1"/>
    <xf numFmtId="164" fontId="15" fillId="5" borderId="0" xfId="1" applyNumberFormat="1" applyFont="1" applyFill="1"/>
    <xf numFmtId="43" fontId="15" fillId="5" borderId="0" xfId="1" applyFont="1" applyFill="1"/>
    <xf numFmtId="165" fontId="15" fillId="5" borderId="0" xfId="1" applyNumberFormat="1" applyFont="1" applyFill="1"/>
    <xf numFmtId="166" fontId="15" fillId="5" borderId="0" xfId="1" applyNumberFormat="1" applyFont="1" applyFill="1"/>
    <xf numFmtId="164" fontId="15" fillId="5" borderId="7" xfId="1" applyNumberFormat="1" applyFont="1" applyFill="1" applyBorder="1"/>
    <xf numFmtId="43" fontId="15" fillId="5" borderId="7" xfId="1" applyFont="1" applyFill="1" applyBorder="1"/>
    <xf numFmtId="165" fontId="15" fillId="5" borderId="7" xfId="1" applyNumberFormat="1" applyFont="1" applyFill="1" applyBorder="1"/>
    <xf numFmtId="166" fontId="15" fillId="5" borderId="7" xfId="1" applyNumberFormat="1" applyFont="1" applyFill="1" applyBorder="1"/>
    <xf numFmtId="0" fontId="15" fillId="0" borderId="2" xfId="0" applyFont="1" applyBorder="1"/>
    <xf numFmtId="2" fontId="15" fillId="5" borderId="0" xfId="0" applyNumberFormat="1" applyFont="1" applyFill="1"/>
    <xf numFmtId="170" fontId="15" fillId="5" borderId="0" xfId="0" applyNumberFormat="1" applyFont="1" applyFill="1"/>
    <xf numFmtId="2" fontId="15" fillId="0" borderId="2" xfId="1" applyNumberFormat="1" applyFont="1" applyBorder="1"/>
    <xf numFmtId="2" fontId="15" fillId="3" borderId="2" xfId="1" applyNumberFormat="1" applyFont="1" applyFill="1" applyBorder="1"/>
    <xf numFmtId="171" fontId="15" fillId="3" borderId="2" xfId="1" applyNumberFormat="1" applyFont="1" applyFill="1" applyBorder="1"/>
    <xf numFmtId="171" fontId="15" fillId="4" borderId="1" xfId="1" applyNumberFormat="1" applyFont="1" applyFill="1" applyBorder="1"/>
    <xf numFmtId="171" fontId="15" fillId="4" borderId="3" xfId="1" applyNumberFormat="1" applyFont="1" applyFill="1" applyBorder="1"/>
    <xf numFmtId="171" fontId="15" fillId="4" borderId="2" xfId="1" applyNumberFormat="1" applyFont="1" applyFill="1" applyBorder="1"/>
    <xf numFmtId="2" fontId="15" fillId="0" borderId="0" xfId="1" applyNumberFormat="1" applyFont="1" applyFill="1" applyBorder="1"/>
    <xf numFmtId="170" fontId="15" fillId="3" borderId="2" xfId="1" applyNumberFormat="1" applyFont="1" applyFill="1" applyBorder="1"/>
    <xf numFmtId="170" fontId="15" fillId="4" borderId="2" xfId="1" applyNumberFormat="1" applyFont="1" applyFill="1" applyBorder="1"/>
    <xf numFmtId="170" fontId="15" fillId="3" borderId="2" xfId="0" applyNumberFormat="1" applyFont="1" applyFill="1" applyBorder="1"/>
    <xf numFmtId="168" fontId="15" fillId="4" borderId="2" xfId="0" applyNumberFormat="1" applyFont="1" applyFill="1" applyBorder="1"/>
    <xf numFmtId="0" fontId="15" fillId="0" borderId="0" xfId="0" applyFont="1"/>
    <xf numFmtId="2" fontId="15" fillId="0" borderId="0" xfId="1" applyNumberFormat="1" applyFont="1"/>
    <xf numFmtId="2" fontId="15" fillId="3" borderId="0" xfId="1" applyNumberFormat="1" applyFont="1" applyFill="1"/>
    <xf numFmtId="171" fontId="15" fillId="4" borderId="4" xfId="1" applyNumberFormat="1" applyFont="1" applyFill="1" applyBorder="1"/>
    <xf numFmtId="171" fontId="15" fillId="4" borderId="5" xfId="1" applyNumberFormat="1" applyFont="1" applyFill="1" applyBorder="1"/>
    <xf numFmtId="171" fontId="15" fillId="4" borderId="0" xfId="1" applyNumberFormat="1" applyFont="1" applyFill="1" applyBorder="1"/>
    <xf numFmtId="170" fontId="15" fillId="3" borderId="0" xfId="1" applyNumberFormat="1" applyFont="1" applyFill="1" applyBorder="1"/>
    <xf numFmtId="170" fontId="15" fillId="3" borderId="0" xfId="1" applyNumberFormat="1" applyFont="1" applyFill="1"/>
    <xf numFmtId="170" fontId="15" fillId="4" borderId="0" xfId="1" applyNumberFormat="1" applyFont="1" applyFill="1"/>
    <xf numFmtId="170" fontId="15" fillId="3" borderId="0" xfId="0" applyNumberFormat="1" applyFont="1" applyFill="1"/>
    <xf numFmtId="168" fontId="15" fillId="4" borderId="0" xfId="0" applyNumberFormat="1" applyFont="1" applyFill="1"/>
    <xf numFmtId="43" fontId="15" fillId="0" borderId="0" xfId="1" applyFont="1" applyFill="1"/>
    <xf numFmtId="164" fontId="15" fillId="0" borderId="0" xfId="1" applyNumberFormat="1" applyFont="1"/>
    <xf numFmtId="165" fontId="15" fillId="0" borderId="0" xfId="1" applyNumberFormat="1" applyFont="1"/>
    <xf numFmtId="166" fontId="15" fillId="0" borderId="0" xfId="1" applyNumberFormat="1" applyFont="1"/>
    <xf numFmtId="167" fontId="15" fillId="0" borderId="0" xfId="1" applyNumberFormat="1" applyFont="1"/>
    <xf numFmtId="43" fontId="19" fillId="3" borderId="1" xfId="1" applyFont="1" applyFill="1" applyBorder="1"/>
    <xf numFmtId="164" fontId="10" fillId="2" borderId="3" xfId="1" applyNumberFormat="1" applyFont="1" applyFill="1" applyBorder="1"/>
    <xf numFmtId="43" fontId="19" fillId="3" borderId="6" xfId="1" applyFont="1" applyFill="1" applyBorder="1"/>
    <xf numFmtId="164" fontId="10" fillId="2" borderId="8" xfId="1" applyNumberFormat="1" applyFont="1" applyFill="1" applyBorder="1"/>
    <xf numFmtId="43" fontId="0" fillId="9" borderId="1" xfId="1" applyFont="1" applyFill="1" applyBorder="1"/>
    <xf numFmtId="43" fontId="0" fillId="9" borderId="2" xfId="1" applyFont="1" applyFill="1" applyBorder="1"/>
    <xf numFmtId="165" fontId="0" fillId="9" borderId="2" xfId="1" applyNumberFormat="1" applyFont="1" applyFill="1" applyBorder="1"/>
    <xf numFmtId="166" fontId="0" fillId="9" borderId="2" xfId="1" applyNumberFormat="1" applyFont="1" applyFill="1" applyBorder="1"/>
    <xf numFmtId="43" fontId="0" fillId="9" borderId="3" xfId="1" applyFont="1" applyFill="1" applyBorder="1"/>
    <xf numFmtId="43" fontId="0" fillId="9" borderId="4" xfId="1" applyFont="1" applyFill="1" applyBorder="1"/>
    <xf numFmtId="43" fontId="9" fillId="9" borderId="0" xfId="1" applyFont="1" applyFill="1" applyBorder="1"/>
    <xf numFmtId="165" fontId="4" fillId="9" borderId="0" xfId="1" applyNumberFormat="1" applyFont="1" applyFill="1" applyBorder="1"/>
    <xf numFmtId="166" fontId="4" fillId="9" borderId="0" xfId="1" applyNumberFormat="1" applyFont="1" applyFill="1" applyBorder="1"/>
    <xf numFmtId="43" fontId="0" fillId="9" borderId="5" xfId="1" applyFont="1" applyFill="1" applyBorder="1"/>
    <xf numFmtId="43" fontId="0" fillId="9" borderId="6" xfId="1" applyFont="1" applyFill="1" applyBorder="1"/>
    <xf numFmtId="43" fontId="0" fillId="9" borderId="7" xfId="1" applyFont="1" applyFill="1" applyBorder="1"/>
    <xf numFmtId="165" fontId="0" fillId="9" borderId="7" xfId="1" applyNumberFormat="1" applyFont="1" applyFill="1" applyBorder="1"/>
    <xf numFmtId="166" fontId="0" fillId="9" borderId="7" xfId="1" applyNumberFormat="1" applyFont="1" applyFill="1" applyBorder="1"/>
    <xf numFmtId="43" fontId="0" fillId="9" borderId="8" xfId="1" applyFont="1" applyFill="1" applyBorder="1"/>
    <xf numFmtId="43" fontId="20" fillId="9" borderId="0" xfId="1" applyFont="1" applyFill="1" applyBorder="1"/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left"/>
    </xf>
    <xf numFmtId="171" fontId="15" fillId="2" borderId="3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168" fontId="15" fillId="5" borderId="0" xfId="0" applyNumberFormat="1" applyFont="1" applyFill="1" applyAlignment="1">
      <alignment horizontal="left"/>
    </xf>
    <xf numFmtId="168" fontId="15" fillId="5" borderId="7" xfId="0" applyNumberFormat="1" applyFont="1" applyFill="1" applyBorder="1" applyAlignment="1">
      <alignment horizontal="left"/>
    </xf>
    <xf numFmtId="168" fontId="15" fillId="2" borderId="0" xfId="0" applyNumberFormat="1" applyFont="1" applyFill="1" applyAlignment="1">
      <alignment horizontal="left"/>
    </xf>
    <xf numFmtId="1" fontId="10" fillId="12" borderId="8" xfId="0" applyNumberFormat="1" applyFont="1" applyFill="1" applyBorder="1" applyAlignment="1">
      <alignment horizontal="left"/>
    </xf>
    <xf numFmtId="171" fontId="15" fillId="5" borderId="0" xfId="0" applyNumberFormat="1" applyFont="1" applyFill="1"/>
    <xf numFmtId="170" fontId="15" fillId="4" borderId="2" xfId="0" applyNumberFormat="1" applyFont="1" applyFill="1" applyBorder="1"/>
    <xf numFmtId="170" fontId="15" fillId="4" borderId="0" xfId="0" applyNumberFormat="1" applyFont="1" applyFill="1"/>
    <xf numFmtId="0" fontId="9" fillId="0" borderId="14" xfId="0" applyFont="1" applyFill="1" applyBorder="1" applyAlignment="1">
      <alignment horizontal="left"/>
    </xf>
    <xf numFmtId="170" fontId="10" fillId="0" borderId="13" xfId="0" applyNumberFormat="1" applyFont="1" applyFill="1" applyBorder="1" applyAlignment="1">
      <alignment horizontal="right"/>
    </xf>
    <xf numFmtId="0" fontId="9" fillId="0" borderId="13" xfId="0" applyFont="1" applyFill="1" applyBorder="1"/>
    <xf numFmtId="0" fontId="16" fillId="0" borderId="4" xfId="0" applyFont="1" applyFill="1" applyBorder="1" applyAlignment="1">
      <alignment horizontal="right"/>
    </xf>
    <xf numFmtId="170" fontId="10" fillId="0" borderId="5" xfId="0" applyNumberFormat="1" applyFont="1" applyFill="1" applyBorder="1" applyAlignment="1">
      <alignment horizontal="left"/>
    </xf>
    <xf numFmtId="0" fontId="16" fillId="0" borderId="6" xfId="0" applyFont="1" applyFill="1" applyBorder="1" applyAlignment="1">
      <alignment horizontal="right"/>
    </xf>
    <xf numFmtId="170" fontId="10" fillId="0" borderId="8" xfId="0" applyNumberFormat="1" applyFont="1" applyFill="1" applyBorder="1" applyAlignment="1">
      <alignment horizontal="left"/>
    </xf>
    <xf numFmtId="0" fontId="17" fillId="13" borderId="0" xfId="0" applyFont="1" applyFill="1" applyAlignment="1">
      <alignment horizontal="center"/>
    </xf>
    <xf numFmtId="170" fontId="10" fillId="12" borderId="10" xfId="0" applyNumberFormat="1" applyFont="1" applyFill="1" applyBorder="1" applyAlignment="1">
      <alignment horizontal="right"/>
    </xf>
    <xf numFmtId="170" fontId="10" fillId="12" borderId="1" xfId="0" applyNumberFormat="1" applyFont="1" applyFill="1" applyBorder="1" applyAlignment="1">
      <alignment horizontal="right"/>
    </xf>
    <xf numFmtId="170" fontId="10" fillId="12" borderId="4" xfId="0" applyNumberFormat="1" applyFont="1" applyFill="1" applyBorder="1" applyAlignment="1">
      <alignment horizontal="right"/>
    </xf>
    <xf numFmtId="170" fontId="10" fillId="12" borderId="6" xfId="0" applyNumberFormat="1" applyFont="1" applyFill="1" applyBorder="1" applyAlignment="1">
      <alignment horizontal="right"/>
    </xf>
    <xf numFmtId="0" fontId="11" fillId="14" borderId="2" xfId="0" applyFont="1" applyFill="1" applyBorder="1" applyAlignment="1">
      <alignment horizontal="center"/>
    </xf>
    <xf numFmtId="170" fontId="11" fillId="14" borderId="2" xfId="0" applyNumberFormat="1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173" fontId="10" fillId="15" borderId="2" xfId="0" applyNumberFormat="1" applyFont="1" applyFill="1" applyBorder="1" applyAlignment="1">
      <alignment horizontal="center"/>
    </xf>
    <xf numFmtId="170" fontId="10" fillId="15" borderId="2" xfId="0" applyNumberFormat="1" applyFont="1" applyFill="1" applyBorder="1" applyAlignment="1">
      <alignment horizontal="center"/>
    </xf>
    <xf numFmtId="1" fontId="10" fillId="15" borderId="2" xfId="0" applyNumberFormat="1" applyFont="1" applyFill="1" applyBorder="1" applyAlignment="1">
      <alignment horizontal="center"/>
    </xf>
    <xf numFmtId="170" fontId="10" fillId="15" borderId="3" xfId="0" applyNumberFormat="1" applyFont="1" applyFill="1" applyBorder="1" applyAlignment="1">
      <alignment horizontal="center"/>
    </xf>
    <xf numFmtId="173" fontId="10" fillId="15" borderId="0" xfId="0" applyNumberFormat="1" applyFont="1" applyFill="1" applyBorder="1" applyAlignment="1">
      <alignment horizontal="center"/>
    </xf>
    <xf numFmtId="170" fontId="10" fillId="15" borderId="0" xfId="0" applyNumberFormat="1" applyFont="1" applyFill="1" applyBorder="1" applyAlignment="1">
      <alignment horizontal="center"/>
    </xf>
    <xf numFmtId="1" fontId="10" fillId="15" borderId="0" xfId="0" applyNumberFormat="1" applyFont="1" applyFill="1" applyBorder="1" applyAlignment="1">
      <alignment horizontal="center"/>
    </xf>
    <xf numFmtId="170" fontId="10" fillId="15" borderId="5" xfId="0" applyNumberFormat="1" applyFont="1" applyFill="1" applyBorder="1" applyAlignment="1">
      <alignment horizontal="center"/>
    </xf>
    <xf numFmtId="173" fontId="10" fillId="15" borderId="7" xfId="0" applyNumberFormat="1" applyFont="1" applyFill="1" applyBorder="1" applyAlignment="1">
      <alignment horizontal="center"/>
    </xf>
    <xf numFmtId="170" fontId="10" fillId="15" borderId="7" xfId="0" applyNumberFormat="1" applyFont="1" applyFill="1" applyBorder="1" applyAlignment="1">
      <alignment horizontal="center"/>
    </xf>
    <xf numFmtId="1" fontId="10" fillId="15" borderId="7" xfId="0" applyNumberFormat="1" applyFont="1" applyFill="1" applyBorder="1" applyAlignment="1">
      <alignment horizontal="center"/>
    </xf>
    <xf numFmtId="170" fontId="10" fillId="15" borderId="8" xfId="0" applyNumberFormat="1" applyFont="1" applyFill="1" applyBorder="1" applyAlignment="1">
      <alignment horizontal="center"/>
    </xf>
    <xf numFmtId="168" fontId="11" fillId="7" borderId="1" xfId="0" applyNumberFormat="1" applyFont="1" applyFill="1" applyBorder="1" applyAlignment="1">
      <alignment horizontal="center"/>
    </xf>
    <xf numFmtId="170" fontId="10" fillId="16" borderId="1" xfId="0" applyNumberFormat="1" applyFont="1" applyFill="1" applyBorder="1" applyAlignment="1">
      <alignment horizontal="center"/>
    </xf>
    <xf numFmtId="170" fontId="10" fillId="16" borderId="4" xfId="0" applyNumberFormat="1" applyFont="1" applyFill="1" applyBorder="1" applyAlignment="1">
      <alignment horizontal="center"/>
    </xf>
    <xf numFmtId="170" fontId="10" fillId="16" borderId="6" xfId="0" applyNumberFormat="1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15" borderId="0" xfId="0" applyFont="1" applyFill="1"/>
    <xf numFmtId="0" fontId="10" fillId="15" borderId="0" xfId="0" applyFont="1" applyFill="1" applyBorder="1"/>
    <xf numFmtId="170" fontId="9" fillId="8" borderId="0" xfId="0" applyNumberFormat="1" applyFont="1" applyFill="1" applyAlignment="1">
      <alignment horizontal="center"/>
    </xf>
    <xf numFmtId="170" fontId="10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0" fontId="10" fillId="0" borderId="4" xfId="0" applyNumberFormat="1" applyFont="1" applyFill="1" applyBorder="1" applyAlignment="1">
      <alignment horizontal="right"/>
    </xf>
    <xf numFmtId="165" fontId="10" fillId="7" borderId="12" xfId="1" applyNumberFormat="1" applyFont="1" applyFill="1" applyBorder="1" applyAlignment="1">
      <alignment vertical="center"/>
    </xf>
    <xf numFmtId="165" fontId="10" fillId="7" borderId="12" xfId="1" applyNumberFormat="1" applyFont="1" applyFill="1" applyBorder="1" applyAlignment="1">
      <alignment horizontal="center" vertical="top"/>
    </xf>
    <xf numFmtId="0" fontId="16" fillId="17" borderId="0" xfId="0" applyFont="1" applyFill="1" applyBorder="1" applyAlignment="1">
      <alignment horizontal="right" vertical="center"/>
    </xf>
    <xf numFmtId="170" fontId="10" fillId="8" borderId="5" xfId="0" applyNumberFormat="1" applyFont="1" applyFill="1" applyBorder="1" applyAlignment="1">
      <alignment horizontal="left" vertical="center"/>
    </xf>
    <xf numFmtId="170" fontId="15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73" fontId="10" fillId="0" borderId="0" xfId="0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168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0" fontId="11" fillId="0" borderId="0" xfId="0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right"/>
    </xf>
    <xf numFmtId="173" fontId="10" fillId="0" borderId="0" xfId="0" applyNumberFormat="1" applyFont="1" applyFill="1" applyBorder="1"/>
    <xf numFmtId="0" fontId="0" fillId="0" borderId="0" xfId="0" applyFill="1" applyBorder="1"/>
    <xf numFmtId="43" fontId="11" fillId="9" borderId="2" xfId="1" applyFont="1" applyFill="1" applyBorder="1" applyAlignment="1">
      <alignment horizontal="center"/>
    </xf>
    <xf numFmtId="165" fontId="10" fillId="9" borderId="7" xfId="1" applyNumberFormat="1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65" fontId="10" fillId="7" borderId="0" xfId="1" applyNumberFormat="1" applyFont="1" applyFill="1" applyBorder="1"/>
    <xf numFmtId="0" fontId="0" fillId="3" borderId="2" xfId="0" applyFill="1" applyBorder="1"/>
    <xf numFmtId="43" fontId="11" fillId="3" borderId="0" xfId="1" applyFont="1" applyFill="1" applyBorder="1" applyAlignment="1">
      <alignment horizontal="center"/>
    </xf>
    <xf numFmtId="0" fontId="0" fillId="3" borderId="6" xfId="0" applyFill="1" applyBorder="1"/>
    <xf numFmtId="0" fontId="3" fillId="9" borderId="3" xfId="0" applyFont="1" applyFill="1" applyBorder="1" applyAlignment="1">
      <alignment horizontal="center"/>
    </xf>
    <xf numFmtId="168" fontId="10" fillId="9" borderId="5" xfId="0" applyNumberFormat="1" applyFont="1" applyFill="1" applyBorder="1" applyAlignment="1">
      <alignment horizontal="center"/>
    </xf>
    <xf numFmtId="170" fontId="9" fillId="8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73" fontId="10" fillId="7" borderId="8" xfId="0" applyNumberFormat="1" applyFont="1" applyFill="1" applyBorder="1" applyAlignment="1">
      <alignment horizontal="left" vertical="center"/>
    </xf>
    <xf numFmtId="0" fontId="0" fillId="4" borderId="2" xfId="0" applyFill="1" applyBorder="1"/>
    <xf numFmtId="0" fontId="11" fillId="4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70" fontId="9" fillId="0" borderId="0" xfId="0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23" fillId="0" borderId="0" xfId="1" applyFont="1"/>
    <xf numFmtId="0" fontId="11" fillId="0" borderId="13" xfId="0" applyFont="1" applyFill="1" applyBorder="1" applyAlignment="1">
      <alignment horizontal="center"/>
    </xf>
    <xf numFmtId="168" fontId="15" fillId="0" borderId="2" xfId="0" applyNumberFormat="1" applyFont="1" applyFill="1" applyBorder="1"/>
    <xf numFmtId="168" fontId="15" fillId="0" borderId="0" xfId="0" applyNumberFormat="1" applyFont="1" applyFill="1"/>
    <xf numFmtId="0" fontId="11" fillId="5" borderId="9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170" fontId="15" fillId="5" borderId="2" xfId="0" applyNumberFormat="1" applyFont="1" applyFill="1" applyBorder="1"/>
    <xf numFmtId="168" fontId="15" fillId="5" borderId="2" xfId="0" applyNumberFormat="1" applyFont="1" applyFill="1" applyBorder="1"/>
    <xf numFmtId="168" fontId="15" fillId="5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center"/>
    </xf>
    <xf numFmtId="0" fontId="9" fillId="11" borderId="8" xfId="0" applyFont="1" applyFill="1" applyBorder="1"/>
    <xf numFmtId="170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70" fontId="10" fillId="0" borderId="0" xfId="0" applyNumberFormat="1" applyFont="1" applyFill="1" applyBorder="1" applyAlignment="1">
      <alignment horizontal="left" vertical="center"/>
    </xf>
    <xf numFmtId="170" fontId="15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9" fillId="8" borderId="1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center"/>
    </xf>
    <xf numFmtId="170" fontId="10" fillId="9" borderId="0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5" fillId="0" borderId="0" xfId="0" applyFont="1" applyFill="1" applyBorder="1"/>
    <xf numFmtId="171" fontId="15" fillId="0" borderId="0" xfId="0" applyNumberFormat="1" applyFont="1" applyFill="1" applyBorder="1" applyAlignment="1">
      <alignment horizontal="left"/>
    </xf>
    <xf numFmtId="168" fontId="15" fillId="0" borderId="0" xfId="0" applyNumberFormat="1" applyFont="1" applyFill="1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164" fontId="28" fillId="0" borderId="0" xfId="1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3" fontId="0" fillId="0" borderId="6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167" fontId="8" fillId="11" borderId="10" xfId="1" applyNumberFormat="1" applyFont="1" applyFill="1" applyBorder="1" applyAlignment="1">
      <alignment horizontal="center"/>
    </xf>
    <xf numFmtId="167" fontId="8" fillId="11" borderId="9" xfId="1" applyNumberFormat="1" applyFont="1" applyFill="1" applyBorder="1" applyAlignment="1">
      <alignment horizontal="center"/>
    </xf>
    <xf numFmtId="167" fontId="8" fillId="7" borderId="10" xfId="1" applyNumberFormat="1" applyFont="1" applyFill="1" applyBorder="1" applyAlignment="1">
      <alignment horizontal="center"/>
    </xf>
    <xf numFmtId="167" fontId="8" fillId="7" borderId="9" xfId="1" applyNumberFormat="1" applyFont="1" applyFill="1" applyBorder="1" applyAlignment="1">
      <alignment horizontal="center"/>
    </xf>
    <xf numFmtId="49" fontId="24" fillId="0" borderId="2" xfId="0" applyNumberFormat="1" applyFont="1" applyBorder="1" applyAlignment="1" applyProtection="1">
      <alignment horizontal="center" vertical="top" wrapText="1"/>
      <protection locked="0"/>
    </xf>
    <xf numFmtId="49" fontId="0" fillId="0" borderId="2" xfId="0" applyNumberFormat="1" applyBorder="1" applyAlignment="1" applyProtection="1">
      <alignment horizontal="center" vertical="top" wrapText="1"/>
      <protection locked="0"/>
    </xf>
    <xf numFmtId="49" fontId="0" fillId="0" borderId="0" xfId="0" applyNumberFormat="1" applyBorder="1" applyAlignment="1" applyProtection="1">
      <alignment horizontal="center" vertical="top" wrapText="1"/>
      <protection locked="0"/>
    </xf>
    <xf numFmtId="49" fontId="0" fillId="0" borderId="7" xfId="0" applyNumberFormat="1" applyBorder="1" applyAlignment="1" applyProtection="1">
      <alignment horizontal="center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AFFBAF"/>
      <color rgb="FF81DF81"/>
      <color rgb="FFD8CAD7"/>
      <color rgb="FFFF0000"/>
      <color rgb="FF66FF99"/>
      <color rgb="FFEAE2E9"/>
      <color rgb="FFE1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142871</xdr:colOff>
      <xdr:row>8</xdr:row>
      <xdr:rowOff>47627</xdr:rowOff>
    </xdr:from>
    <xdr:to>
      <xdr:col>33</xdr:col>
      <xdr:colOff>1254777</xdr:colOff>
      <xdr:row>11</xdr:row>
      <xdr:rowOff>214312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1996" y="2181227"/>
          <a:ext cx="4702831" cy="9667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22</xdr:col>
      <xdr:colOff>11901</xdr:colOff>
      <xdr:row>11</xdr:row>
      <xdr:rowOff>59532</xdr:rowOff>
    </xdr:from>
    <xdr:to>
      <xdr:col>25</xdr:col>
      <xdr:colOff>130969</xdr:colOff>
      <xdr:row>14</xdr:row>
      <xdr:rowOff>62610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5501" y="2993232"/>
          <a:ext cx="3319468" cy="803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41</xdr:col>
      <xdr:colOff>285750</xdr:colOff>
      <xdr:row>0</xdr:row>
      <xdr:rowOff>148802</xdr:rowOff>
    </xdr:from>
    <xdr:to>
      <xdr:col>44</xdr:col>
      <xdr:colOff>1009649</xdr:colOff>
      <xdr:row>15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635025" y="148802"/>
          <a:ext cx="5124449" cy="388979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13C14N-12C14N_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494"/>
  <sheetViews>
    <sheetView tabSelected="1" zoomScale="70" zoomScaleNormal="70" workbookViewId="0">
      <selection activeCell="B1" sqref="B1"/>
    </sheetView>
  </sheetViews>
  <sheetFormatPr baseColWidth="10" defaultColWidth="11.42578125" defaultRowHeight="15" x14ac:dyDescent="0.25"/>
  <cols>
    <col min="1" max="1" width="13.28515625" customWidth="1"/>
    <col min="2" max="2" width="48.7109375" style="2" customWidth="1"/>
    <col min="3" max="3" width="17.42578125" style="1" customWidth="1"/>
    <col min="4" max="4" width="15.140625" style="1" customWidth="1"/>
    <col min="5" max="5" width="14.5703125" style="3" customWidth="1"/>
    <col min="6" max="6" width="16.140625" style="4" customWidth="1"/>
    <col min="7" max="7" width="13" style="3" customWidth="1"/>
    <col min="8" max="8" width="10.28515625" style="1" customWidth="1"/>
    <col min="9" max="9" width="9.42578125" style="2" customWidth="1"/>
    <col min="10" max="10" width="10.140625" style="1" customWidth="1"/>
    <col min="11" max="11" width="9.28515625" style="1" customWidth="1"/>
    <col min="12" max="12" width="16.85546875" style="1" customWidth="1"/>
    <col min="13" max="13" width="14.85546875" style="1" customWidth="1"/>
    <col min="14" max="14" width="14" style="1" customWidth="1"/>
    <col min="15" max="15" width="13.42578125" style="1" customWidth="1"/>
    <col min="16" max="16" width="16.140625" style="1" customWidth="1"/>
    <col min="17" max="17" width="21.42578125" style="19" customWidth="1"/>
    <col min="18" max="18" width="21.140625" style="19" customWidth="1"/>
    <col min="19" max="19" width="21" style="19" customWidth="1"/>
    <col min="20" max="20" width="20.140625" style="19" customWidth="1"/>
    <col min="21" max="21" width="22.42578125" style="9" customWidth="1"/>
    <col min="22" max="22" width="16" style="9" customWidth="1"/>
    <col min="23" max="23" width="17" style="9" customWidth="1"/>
    <col min="24" max="24" width="15" style="3" customWidth="1"/>
    <col min="25" max="25" width="16" style="1" customWidth="1"/>
    <col min="26" max="26" width="14.140625" customWidth="1"/>
    <col min="27" max="27" width="16" customWidth="1"/>
    <col min="28" max="28" width="17.28515625" customWidth="1"/>
    <col min="29" max="29" width="20.28515625" customWidth="1"/>
    <col min="30" max="30" width="21" customWidth="1"/>
    <col min="31" max="31" width="12" style="7" customWidth="1"/>
    <col min="32" max="32" width="20.5703125" customWidth="1"/>
    <col min="33" max="33" width="33.28515625" customWidth="1"/>
    <col min="34" max="35" width="24.5703125" customWidth="1"/>
    <col min="36" max="36" width="17.140625" customWidth="1"/>
    <col min="37" max="37" width="16.5703125" customWidth="1"/>
    <col min="38" max="38" width="26" customWidth="1"/>
    <col min="39" max="39" width="43.5703125" customWidth="1"/>
    <col min="40" max="40" width="18.7109375" customWidth="1"/>
    <col min="41" max="41" width="21.5703125" customWidth="1"/>
    <col min="42" max="42" width="25.28515625" customWidth="1"/>
    <col min="43" max="43" width="20.85546875" customWidth="1"/>
    <col min="44" max="44" width="19.85546875" customWidth="1"/>
    <col min="45" max="45" width="18.28515625" customWidth="1"/>
    <col min="46" max="46" width="14" customWidth="1"/>
    <col min="47" max="47" width="23.28515625" customWidth="1"/>
    <col min="48" max="48" width="20.85546875" customWidth="1"/>
    <col min="49" max="49" width="18.85546875" customWidth="1"/>
    <col min="50" max="50" width="22.42578125" customWidth="1"/>
    <col min="51" max="51" width="32.42578125" customWidth="1"/>
  </cols>
  <sheetData>
    <row r="1" spans="2:42" ht="21" customHeight="1" x14ac:dyDescent="0.45">
      <c r="B1" s="327" t="s">
        <v>165</v>
      </c>
    </row>
    <row r="2" spans="2:42" ht="21" customHeight="1" x14ac:dyDescent="0.25"/>
    <row r="3" spans="2:42" ht="21" customHeight="1" x14ac:dyDescent="0.35">
      <c r="B3" s="11" t="s">
        <v>43</v>
      </c>
      <c r="L3" s="11" t="s">
        <v>44</v>
      </c>
      <c r="X3" s="11" t="s">
        <v>47</v>
      </c>
      <c r="AF3" s="11" t="s">
        <v>135</v>
      </c>
    </row>
    <row r="4" spans="2:42" ht="21" customHeight="1" x14ac:dyDescent="0.35">
      <c r="L4" s="2"/>
      <c r="X4" s="2"/>
      <c r="AF4" s="2"/>
      <c r="AG4" s="11" t="s">
        <v>136</v>
      </c>
      <c r="AL4" s="60" t="s">
        <v>110</v>
      </c>
      <c r="AM4" s="63">
        <f>($AK$15+$AF$18*$AK$12)/((1-$AK$15)+$AF$18*(1-$AK$12))</f>
        <v>5.0652285240259977E-2</v>
      </c>
      <c r="AN4" s="66" t="s">
        <v>111</v>
      </c>
      <c r="AO4" s="63">
        <f>$AM$4/($AM$4+1)</f>
        <v>4.8210322246314788E-2</v>
      </c>
    </row>
    <row r="5" spans="2:42" ht="21" customHeight="1" x14ac:dyDescent="0.35">
      <c r="B5" s="12" t="s">
        <v>70</v>
      </c>
      <c r="L5" s="12" t="s">
        <v>42</v>
      </c>
      <c r="X5" s="12" t="s">
        <v>46</v>
      </c>
      <c r="AF5" s="12" t="s">
        <v>48</v>
      </c>
      <c r="AL5" s="61" t="s">
        <v>108</v>
      </c>
      <c r="AM5" s="64">
        <f>SQRT(($AO$6/$AM$7)^2+($AM$6*$AO$7/($AM$7*$AM$7))^2)</f>
        <v>1.9376860092822793E-3</v>
      </c>
      <c r="AN5" s="67" t="s">
        <v>109</v>
      </c>
      <c r="AO5" s="64">
        <f>$AM$5/($AM$5+1)</f>
        <v>1.9339386434300942E-3</v>
      </c>
    </row>
    <row r="6" spans="2:42" ht="21" customHeight="1" x14ac:dyDescent="0.35">
      <c r="B6" s="12" t="s">
        <v>38</v>
      </c>
      <c r="L6" s="12" t="s">
        <v>41</v>
      </c>
      <c r="X6" s="12" t="s">
        <v>79</v>
      </c>
      <c r="AF6" s="12" t="s">
        <v>49</v>
      </c>
      <c r="AJ6" s="256" t="s">
        <v>147</v>
      </c>
      <c r="AK6" s="208">
        <v>0</v>
      </c>
      <c r="AL6" s="61" t="s">
        <v>102</v>
      </c>
      <c r="AM6" s="65">
        <f>ROUND($AK$7*$AM$4/($AM$4+1),0)</f>
        <v>723</v>
      </c>
      <c r="AN6" s="67" t="s">
        <v>106</v>
      </c>
      <c r="AO6" s="65">
        <f>ROUND(SQRT(AM6),0)</f>
        <v>27</v>
      </c>
    </row>
    <row r="7" spans="2:42" ht="21" customHeight="1" x14ac:dyDescent="0.35">
      <c r="B7" s="12" t="s">
        <v>39</v>
      </c>
      <c r="X7" s="27"/>
      <c r="Y7" s="298" t="s">
        <v>82</v>
      </c>
      <c r="AF7" s="13" t="s">
        <v>50</v>
      </c>
      <c r="AJ7" s="77" t="s">
        <v>100</v>
      </c>
      <c r="AK7" s="212">
        <v>15000</v>
      </c>
      <c r="AL7" s="61" t="s">
        <v>103</v>
      </c>
      <c r="AM7" s="65">
        <f>ROUND($AK$7/($AM$4+1),0)</f>
        <v>14277</v>
      </c>
      <c r="AN7" s="62" t="s">
        <v>107</v>
      </c>
      <c r="AO7" s="219">
        <f>ROUND(SQRT($AM$7),0)</f>
        <v>119</v>
      </c>
    </row>
    <row r="8" spans="2:42" ht="21" customHeight="1" x14ac:dyDescent="0.35">
      <c r="C8" s="192"/>
      <c r="D8" s="193"/>
      <c r="E8" s="194"/>
      <c r="F8" s="195"/>
      <c r="G8" s="194"/>
      <c r="H8" s="196"/>
      <c r="AF8" t="s">
        <v>101</v>
      </c>
      <c r="AJ8" s="78"/>
      <c r="AK8" s="213"/>
      <c r="AL8" s="97" t="s">
        <v>112</v>
      </c>
      <c r="AM8" s="64">
        <f>$AM$5*(($AM$12/($AM$12+$AK$9))*(1+$AM$15)-$AM$15)/(($AM$15+1)*POWER(($AM$4-($AM$12/($AM$12+$AK$9))*($AM$4+1)),2))</f>
        <v>1.4399344122413095E-2</v>
      </c>
    </row>
    <row r="9" spans="2:42" ht="21" customHeight="1" x14ac:dyDescent="0.7">
      <c r="C9" s="197"/>
      <c r="D9" s="207" t="s">
        <v>51</v>
      </c>
      <c r="E9" s="199"/>
      <c r="F9" s="200"/>
      <c r="G9" s="199"/>
      <c r="H9" s="201"/>
      <c r="R9" s="92"/>
      <c r="S9" s="92"/>
      <c r="AF9" s="328"/>
      <c r="AG9" s="329"/>
      <c r="AH9" s="329"/>
      <c r="AI9" s="330"/>
      <c r="AJ9" s="52" t="s">
        <v>18</v>
      </c>
      <c r="AK9" s="214">
        <v>1</v>
      </c>
      <c r="AL9" s="265" t="s">
        <v>152</v>
      </c>
      <c r="AM9" s="266">
        <f>$AM$8/$AF$18</f>
        <v>5.8738319698963856E-2</v>
      </c>
    </row>
    <row r="10" spans="2:42" ht="21" customHeight="1" x14ac:dyDescent="0.7">
      <c r="C10" s="197"/>
      <c r="D10" s="198" t="s">
        <v>52</v>
      </c>
      <c r="E10" s="199"/>
      <c r="F10" s="200"/>
      <c r="G10" s="199"/>
      <c r="H10" s="201"/>
      <c r="R10" s="92"/>
      <c r="S10" s="92"/>
      <c r="X10" s="12"/>
      <c r="AE10" s="295"/>
      <c r="AF10" s="331"/>
      <c r="AG10" s="331"/>
      <c r="AH10" s="331"/>
      <c r="AI10" s="332"/>
      <c r="AJ10" s="41" t="s">
        <v>17</v>
      </c>
      <c r="AK10" s="215">
        <v>1E-4</v>
      </c>
      <c r="AL10" s="226"/>
      <c r="AM10" s="227"/>
    </row>
    <row r="11" spans="2:42" ht="21" customHeight="1" x14ac:dyDescent="0.35">
      <c r="C11" s="202"/>
      <c r="D11" s="203"/>
      <c r="E11" s="204"/>
      <c r="F11" s="205"/>
      <c r="G11" s="204"/>
      <c r="H11" s="206"/>
      <c r="L11" s="2"/>
      <c r="Q11" s="31" t="s">
        <v>60</v>
      </c>
      <c r="R11" s="32" t="s">
        <v>61</v>
      </c>
      <c r="S11" s="103" t="s">
        <v>57</v>
      </c>
      <c r="T11" s="20" t="s">
        <v>54</v>
      </c>
      <c r="U11" s="14"/>
      <c r="V11" s="14"/>
      <c r="AE11" s="296"/>
      <c r="AF11" s="331"/>
      <c r="AG11" s="331"/>
      <c r="AH11" s="331"/>
      <c r="AI11" s="332"/>
      <c r="AJ11" s="53"/>
      <c r="AK11" s="210"/>
      <c r="AL11" s="228"/>
      <c r="AM11" s="229"/>
    </row>
    <row r="12" spans="2:42" ht="21" customHeight="1" x14ac:dyDescent="0.35">
      <c r="L12" s="81" t="s">
        <v>124</v>
      </c>
      <c r="M12" s="82">
        <v>1269</v>
      </c>
      <c r="Q12" s="33">
        <f>AVERAGE(Q21:Q494)</f>
        <v>98.54681402141027</v>
      </c>
      <c r="R12" s="34">
        <f>_xlfn.STDEV.P(Q21:Q494)</f>
        <v>114.12252020493528</v>
      </c>
      <c r="S12" s="104">
        <f>AVERAGE(S21:S494)</f>
        <v>310.31471637850348</v>
      </c>
      <c r="T12" s="21">
        <f>_xlfn.STDEV.P(S21:S494)</f>
        <v>301.88080841638492</v>
      </c>
      <c r="U12" s="15"/>
      <c r="V12" s="15"/>
      <c r="W12" s="333"/>
      <c r="X12" s="334"/>
      <c r="Y12" s="334"/>
      <c r="Z12" s="335"/>
      <c r="AA12" s="58" t="s">
        <v>13</v>
      </c>
      <c r="AB12" s="208">
        <v>1.0699999999999999E-2</v>
      </c>
      <c r="AE12" s="261"/>
      <c r="AF12" s="331"/>
      <c r="AG12" s="331"/>
      <c r="AH12" s="331"/>
      <c r="AI12" s="331"/>
      <c r="AJ12" s="77" t="s">
        <v>63</v>
      </c>
      <c r="AK12" s="216">
        <v>0.2</v>
      </c>
      <c r="AL12" s="54" t="s">
        <v>65</v>
      </c>
      <c r="AM12" s="56">
        <f>AK12/(1-AK12)</f>
        <v>0.25</v>
      </c>
    </row>
    <row r="13" spans="2:42" ht="21" customHeight="1" x14ac:dyDescent="0.35">
      <c r="C13" s="95"/>
      <c r="D13" s="96"/>
      <c r="I13" s="91"/>
      <c r="L13" s="83" t="s">
        <v>29</v>
      </c>
      <c r="M13" s="84">
        <v>216</v>
      </c>
      <c r="S13" s="59" t="s">
        <v>94</v>
      </c>
      <c r="T13" s="90">
        <f>$T$17/$T$14</f>
        <v>0.97856034882201703</v>
      </c>
      <c r="W13" s="336"/>
      <c r="X13" s="337"/>
      <c r="Y13" s="337"/>
      <c r="Z13" s="338"/>
      <c r="AA13" s="54" t="s">
        <v>14</v>
      </c>
      <c r="AB13" s="209">
        <v>1E-3</v>
      </c>
      <c r="AC13" s="100" t="s">
        <v>72</v>
      </c>
      <c r="AD13" s="281" t="s">
        <v>23</v>
      </c>
      <c r="AE13" s="296"/>
      <c r="AF13" s="288" t="s">
        <v>67</v>
      </c>
      <c r="AG13" s="107" t="s">
        <v>126</v>
      </c>
      <c r="AH13" s="108" t="s">
        <v>86</v>
      </c>
      <c r="AI13" s="108" t="s">
        <v>125</v>
      </c>
      <c r="AJ13" s="105" t="s">
        <v>64</v>
      </c>
      <c r="AK13" s="217">
        <v>5.0000000000000001E-3</v>
      </c>
      <c r="AL13" s="54" t="s">
        <v>66</v>
      </c>
      <c r="AM13" s="56">
        <f>$AK$13/(1-$AK$12)^3</f>
        <v>9.7656249999999983E-3</v>
      </c>
    </row>
    <row r="14" spans="2:42" ht="21" customHeight="1" x14ac:dyDescent="0.35">
      <c r="C14" s="93"/>
      <c r="I14" s="91"/>
      <c r="L14" s="85"/>
      <c r="M14" s="86"/>
      <c r="Q14" s="35" t="s">
        <v>77</v>
      </c>
      <c r="R14" s="36">
        <f>MEDIAN(Q21:Q494)</f>
        <v>77.524098656046931</v>
      </c>
      <c r="S14" s="24" t="s">
        <v>78</v>
      </c>
      <c r="T14" s="25">
        <f>MEDIAN(S21:S494)</f>
        <v>311.08768151678248</v>
      </c>
      <c r="V14" s="16"/>
      <c r="W14" s="339"/>
      <c r="X14" s="340"/>
      <c r="Y14" s="340"/>
      <c r="Z14" s="341"/>
      <c r="AA14" s="80"/>
      <c r="AB14" s="210"/>
      <c r="AC14" s="101">
        <f>AVERAGE(AC21:AC494)</f>
        <v>4.2994776684607668E-2</v>
      </c>
      <c r="AD14" s="282">
        <f>_xlfn.STDEV.P(AC21:AC494)</f>
        <v>2.7396508199028159E-2</v>
      </c>
      <c r="AE14" s="261"/>
      <c r="AF14" s="289">
        <f>AVERAGE(AF21:AF494)</f>
        <v>0.24453484348187809</v>
      </c>
      <c r="AG14" s="110">
        <f>_xlfn.STDEV.P(AF21:AF494)</f>
        <v>0.23788873791677304</v>
      </c>
      <c r="AH14" s="110">
        <f>$AG$14/$AF$14</f>
        <v>0.97282143734417303</v>
      </c>
      <c r="AI14" s="111">
        <f>0.5*$AN$23/$AN$19</f>
        <v>0.98215483650430691</v>
      </c>
      <c r="AJ14" s="106"/>
      <c r="AK14" s="215"/>
      <c r="AL14" s="54"/>
      <c r="AM14" s="56"/>
    </row>
    <row r="15" spans="2:42" ht="21" customHeight="1" x14ac:dyDescent="0.35">
      <c r="C15" s="188" t="s">
        <v>24</v>
      </c>
      <c r="D15" s="189">
        <v>20</v>
      </c>
      <c r="I15" s="91"/>
      <c r="L15" s="87" t="s">
        <v>31</v>
      </c>
      <c r="M15" s="88">
        <v>1</v>
      </c>
      <c r="Q15" s="342" t="s">
        <v>45</v>
      </c>
      <c r="R15" s="343"/>
      <c r="S15" s="343"/>
      <c r="T15" s="343"/>
      <c r="U15" s="17"/>
      <c r="V15" s="17"/>
      <c r="AA15" s="58" t="s">
        <v>80</v>
      </c>
      <c r="AB15" s="208">
        <v>4.3999999999999997E-2</v>
      </c>
      <c r="AE15" s="296"/>
      <c r="AF15" s="112" t="s">
        <v>151</v>
      </c>
      <c r="AG15" s="113" t="s">
        <v>153</v>
      </c>
      <c r="AH15" s="113" t="s">
        <v>118</v>
      </c>
      <c r="AI15" s="112" t="s">
        <v>154</v>
      </c>
      <c r="AJ15" s="109" t="s">
        <v>19</v>
      </c>
      <c r="AK15" s="218">
        <v>1.0999999999999999E-2</v>
      </c>
      <c r="AL15" s="54" t="s">
        <v>16</v>
      </c>
      <c r="AM15" s="56">
        <f>$AK$15/(1-$AK$15)</f>
        <v>1.1122345803842264E-2</v>
      </c>
      <c r="AO15" s="261"/>
      <c r="AP15" s="261"/>
    </row>
    <row r="16" spans="2:42" ht="21" customHeight="1" x14ac:dyDescent="0.35">
      <c r="C16" s="190" t="s">
        <v>25</v>
      </c>
      <c r="D16" s="191">
        <v>512</v>
      </c>
      <c r="I16" s="91"/>
      <c r="L16" s="89" t="s">
        <v>30</v>
      </c>
      <c r="M16" s="86">
        <v>0.05</v>
      </c>
      <c r="Q16" s="344" t="s">
        <v>69</v>
      </c>
      <c r="R16" s="345"/>
      <c r="S16" s="346" t="s">
        <v>68</v>
      </c>
      <c r="T16" s="347"/>
      <c r="U16" s="18"/>
      <c r="V16" s="99" t="s">
        <v>71</v>
      </c>
      <c r="W16" s="99" t="s">
        <v>73</v>
      </c>
      <c r="X16" s="99" t="s">
        <v>104</v>
      </c>
      <c r="Y16" s="98" t="s">
        <v>105</v>
      </c>
      <c r="Z16" s="28"/>
      <c r="AA16" s="55" t="s">
        <v>81</v>
      </c>
      <c r="AB16" s="211">
        <v>4.0000000000000001E-3</v>
      </c>
      <c r="AC16" s="102" t="s">
        <v>75</v>
      </c>
      <c r="AD16" s="283" t="s">
        <v>97</v>
      </c>
      <c r="AE16" s="261"/>
      <c r="AF16" s="290">
        <f>0.5*(1+$AK$6*ABS($AN$24))*($AN$20-$AN$18)/$AN$19</f>
        <v>0.98215483650430691</v>
      </c>
      <c r="AG16" s="116">
        <f>SQRT(($AV$18*$AO$18)^2+($AV$19*$AO$19)^2+($AV$20*$AO$20)^2)</f>
        <v>8.7825502168597233E-2</v>
      </c>
      <c r="AH16" s="116">
        <f>0.5*(1+$AK$6*ABS($AN$24))*($AN$25)/$AN$19</f>
        <v>0.97991987148685888</v>
      </c>
      <c r="AI16" s="259">
        <f>SQRT(($AV$23*$AO$18)^2+($AV$24*$AO$19)^2+($AV$25*$AO$20)^2)</f>
        <v>8.7853372371938548E-2</v>
      </c>
      <c r="AJ16" s="53" t="s">
        <v>20</v>
      </c>
      <c r="AK16" s="218">
        <v>1E-3</v>
      </c>
      <c r="AL16" s="54" t="s">
        <v>15</v>
      </c>
      <c r="AM16" s="57">
        <f>$AK$16/(1-$AK$15)^3</f>
        <v>1.0337395330473861E-3</v>
      </c>
      <c r="AO16" s="260"/>
      <c r="AP16" s="260"/>
    </row>
    <row r="17" spans="1:188" ht="21" customHeight="1" x14ac:dyDescent="0.35">
      <c r="I17" s="91"/>
      <c r="Q17" s="26"/>
      <c r="R17" s="22"/>
      <c r="S17" s="24" t="s">
        <v>98</v>
      </c>
      <c r="T17" s="30">
        <f>ABS(_xlfn.PERCENTILE.EXC(S21:S494,0.84)-_xlfn.PERCENTILE.EXC(S21:S494,0.16))*0.5*(1-ABS(((_xlfn.PERCENTILE.EXC(S21:S494,0.84)-_xlfn.PERCENTILE.EXC(S21:S494,0.5))-(_xlfn.PERCENTILE.EXC(S21:S494,0.5)-_xlfn.PERCENTILE.EXC(S21:S494,0.16)))/(_xlfn.PERCENTILE.EXC(S21:S494,0.84)-_xlfn.PERCENTILE.EXC(S21:S494,0.16))))</f>
        <v>304.4180701392952</v>
      </c>
      <c r="U17" s="29"/>
      <c r="V17" s="132">
        <f>AVERAGE(V21:V494)</f>
        <v>4.1633694142344538E-2</v>
      </c>
      <c r="W17" s="132">
        <f>AVERAGE(W21:W494)</f>
        <v>8.4075625987441364E-5</v>
      </c>
      <c r="X17" s="132">
        <f>AVERAGE(X21:X494)</f>
        <v>4.5789809871823142E-2</v>
      </c>
      <c r="Y17" s="133">
        <f>AVERAGE(Y21:Y494)</f>
        <v>1.9173064240076568E-4</v>
      </c>
      <c r="AA17" s="5"/>
      <c r="AC17" s="134">
        <f>MEDIAN(AC21:AC494)</f>
        <v>4.8210236824633712E-2</v>
      </c>
      <c r="AD17" s="284">
        <f>ABS(_xlfn.PERCENTILE.EXC(AC21:AC494,0.84)-_xlfn.PERCENTILE.EXC(AC21:AC494,0.16))*0.5*(1-ABS(((_xlfn.PERCENTILE.EXC(AC21:AC494,0.84)-_xlfn.PERCENTILE.EXC(AC21:AC494,0.5))-(_xlfn.PERCENTILE.EXC(AC21:AC494,0.5)-_xlfn.PERCENTILE.EXC(AC21:AC494,0.16)))/(_xlfn.PERCENTILE.EXC(AC21:AC494,0.84)-_xlfn.PERCENTILE.EXC(AC21:AC494,0.16))))</f>
        <v>2.4668795935699955E-2</v>
      </c>
      <c r="AE17" s="278"/>
      <c r="AF17" s="291" t="s">
        <v>76</v>
      </c>
      <c r="AG17" s="102" t="s">
        <v>149</v>
      </c>
      <c r="AH17" s="102" t="s">
        <v>114</v>
      </c>
      <c r="AI17" s="102" t="s">
        <v>115</v>
      </c>
      <c r="AJ17" s="102" t="s">
        <v>116</v>
      </c>
      <c r="AK17" s="102" t="s">
        <v>117</v>
      </c>
      <c r="AL17" s="79" t="s">
        <v>113</v>
      </c>
      <c r="AM17" s="114" t="s">
        <v>88</v>
      </c>
      <c r="AN17" s="231">
        <f>MEDIAN(AG21:AG169)</f>
        <v>1.236427696357938E-2</v>
      </c>
      <c r="AO17" s="251" t="s">
        <v>148</v>
      </c>
      <c r="AP17" s="235" t="s">
        <v>142</v>
      </c>
      <c r="AQ17" s="236" t="s">
        <v>143</v>
      </c>
      <c r="AR17" s="236" t="s">
        <v>144</v>
      </c>
      <c r="AS17" s="237" t="s">
        <v>106</v>
      </c>
      <c r="AT17" s="237" t="s">
        <v>107</v>
      </c>
      <c r="AU17" s="238" t="s">
        <v>108</v>
      </c>
      <c r="AV17" s="255" t="s">
        <v>146</v>
      </c>
    </row>
    <row r="18" spans="1:188" ht="21" customHeight="1" x14ac:dyDescent="0.35">
      <c r="B18" s="44" t="s">
        <v>40</v>
      </c>
      <c r="C18" s="45"/>
      <c r="D18" s="45"/>
      <c r="E18" s="46" t="s">
        <v>9</v>
      </c>
      <c r="F18" s="47" t="s">
        <v>10</v>
      </c>
      <c r="G18" s="48"/>
      <c r="H18" s="49"/>
      <c r="I18" s="42" t="s">
        <v>11</v>
      </c>
      <c r="J18" s="42" t="s">
        <v>12</v>
      </c>
      <c r="K18" s="6"/>
      <c r="L18" s="145" t="s">
        <v>26</v>
      </c>
      <c r="M18" s="145" t="s">
        <v>27</v>
      </c>
      <c r="N18" s="145" t="s">
        <v>28</v>
      </c>
      <c r="O18" s="145" t="s">
        <v>32</v>
      </c>
      <c r="P18" s="141" t="s">
        <v>33</v>
      </c>
      <c r="Q18" s="144" t="s">
        <v>62</v>
      </c>
      <c r="R18" s="143" t="s">
        <v>61</v>
      </c>
      <c r="S18" s="43" t="s">
        <v>53</v>
      </c>
      <c r="T18" s="138" t="s">
        <v>54</v>
      </c>
      <c r="U18" s="14"/>
      <c r="V18" s="122"/>
      <c r="W18" s="122"/>
      <c r="X18" s="125"/>
      <c r="Y18" s="128"/>
      <c r="Z18" s="135"/>
      <c r="AA18" s="135"/>
      <c r="AB18" s="135"/>
      <c r="AC18" s="135"/>
      <c r="AD18" s="285"/>
      <c r="AE18" s="273"/>
      <c r="AF18" s="292">
        <f>MEDIAN(AF21:AF494)</f>
        <v>0.24514395706602243</v>
      </c>
      <c r="AG18" s="264">
        <f>ABS(_xlfn.PERCENTILE.EXC(AF21:AF494,0.84)-_xlfn.PERCENTILE.EXC(AF21:AF494,0.16))*0.5*(1-ABS(((_xlfn.PERCENTILE.EXC(AF21:AF494,0.84)-_xlfn.PERCENTILE.EXC(AF21:AF494,0.5))-(_xlfn.PERCENTILE.EXC(AF21:AF494,0.5)-_xlfn.PERCENTILE.EXC(AF21:AF494,0.16)))/(_xlfn.PERCENTILE.EXC(AF21:AF494,0.84)-_xlfn.PERCENTILE.EXC(AF21:AF494,0.16))))</f>
        <v>0.23988815613813649</v>
      </c>
      <c r="AH18" s="263">
        <f>ABS($AM$16*(1+$AM$4)/(POWER(($AM$15+1),2)*($AM$4-($AM$12/($AM$12+$AK$9))*($AM$4+1))))</f>
        <v>6.661337982709392E-3</v>
      </c>
      <c r="AI18" s="118">
        <f>ABS($Y$17*(($AM$12/($AM$12+$AK$9))*(1+$AM$15)-$AM$15)/(($AM$15+1)*POWER(($AM$4-($AM$12/($AM$12+$AK$9))*($AM$4+1)),2)))</f>
        <v>1.4247899223685644E-3</v>
      </c>
      <c r="AJ18" s="118">
        <f>ABS($AM$13*(1/$AK$9)*($AM$15*$AM$15*$AM$4-$AM$15*$AM$4*$AM$4+$AM$15*$AM$15-$AM$4*$AM$4+$AM$15-$AM$4)/POWER(($AM$15+1)*($AM$4-($AM$12/($AM$12+$AK$9))*($AM$4+1))*(($AM$12/$AK$9)+1),2))</f>
        <v>1.0093899363492399E-2</v>
      </c>
      <c r="AK18" s="118">
        <f>ABS($AK$10*$AM$12*($AM$15*$AM$15*$AM$4-$AM$15*$AM$4*$AM$4+$AM$15*$AM$15-$AM$4*$AM$4+$AM$15-$AM$4)/POWER(($AM$15+1)*($AM$4-($AM$12/($AM$12+$AK$9))*($AM$4+1))*(($AM$12/$AK$9)+1),2))</f>
        <v>2.5840382370540544E-5</v>
      </c>
      <c r="AL18" s="117">
        <f>$AM$5*(($AM$12/($AM$12+$AK$9))*(1+$AM$15)-$AM$15)/(($AM$15+1)*POWER(($AM$4-($AM$12/($AM$12+$AK$9))*($AM$4+1)),2))</f>
        <v>1.4399344122413095E-2</v>
      </c>
      <c r="AM18" s="115" t="s">
        <v>84</v>
      </c>
      <c r="AN18" s="232">
        <f>_xlfn.PERCENTILE.EXC(AF21:AF494,0.16)</f>
        <v>5.2558009278859449E-3</v>
      </c>
      <c r="AO18" s="252">
        <f>$AU$18*(($AM$12/($AM$12+$AK$9))*(1+$AM$15)-$AM$15)/(($AM$15+1)*POWER(($AP$18-($AM$12/($AM$12+$AK$9))*($AP$18+1)),2))</f>
        <v>4.1695012156484018E-3</v>
      </c>
      <c r="AP18" s="239">
        <f>($AK$15+$AN$18*$AK$12)/((1-$AK$15)+$AF$18*(1-$AK$12))</f>
        <v>1.0168767166977259E-2</v>
      </c>
      <c r="AQ18" s="240">
        <f>ROUND($AK$7*$AP$18/($AM$4+1),0)</f>
        <v>145</v>
      </c>
      <c r="AR18" s="241">
        <f>ROUND($AK$7/($AP$18+1),0)</f>
        <v>14849</v>
      </c>
      <c r="AS18" s="241">
        <f>ROUND(SQRT(AQ18),0)</f>
        <v>12</v>
      </c>
      <c r="AT18" s="241">
        <f>ROUND(SQRT(AR18),0)</f>
        <v>122</v>
      </c>
      <c r="AU18" s="242">
        <f>SQRT(($AS$18/$AR$18)^2+($AQ$18*$AT$18/($AR$18*$AR$18))^2)</f>
        <v>8.1210793590785865E-4</v>
      </c>
      <c r="AV18" s="257">
        <f>-$AN$26/$AN$19</f>
        <v>-2.0396178881347642</v>
      </c>
    </row>
    <row r="19" spans="1:188" ht="21" customHeight="1" x14ac:dyDescent="0.35">
      <c r="B19" s="150" t="s">
        <v>74</v>
      </c>
      <c r="C19" s="151"/>
      <c r="D19" s="151"/>
      <c r="E19" s="152"/>
      <c r="F19" s="153"/>
      <c r="G19" s="152"/>
      <c r="H19" s="151"/>
      <c r="I19" s="150"/>
      <c r="J19" s="151"/>
      <c r="L19" s="146" t="s">
        <v>34</v>
      </c>
      <c r="M19" s="146" t="s">
        <v>34</v>
      </c>
      <c r="N19" s="146" t="s">
        <v>35</v>
      </c>
      <c r="O19" s="146" t="s">
        <v>36</v>
      </c>
      <c r="P19" s="142" t="s">
        <v>37</v>
      </c>
      <c r="Q19" s="139" t="s">
        <v>55</v>
      </c>
      <c r="R19" s="50" t="s">
        <v>55</v>
      </c>
      <c r="S19" s="51" t="s">
        <v>123</v>
      </c>
      <c r="T19" s="139" t="s">
        <v>56</v>
      </c>
      <c r="U19" s="297"/>
      <c r="V19" s="123" t="s">
        <v>58</v>
      </c>
      <c r="W19" s="123" t="s">
        <v>59</v>
      </c>
      <c r="X19" s="126" t="s">
        <v>119</v>
      </c>
      <c r="Y19" s="129" t="s">
        <v>120</v>
      </c>
      <c r="Z19" s="123" t="s">
        <v>121</v>
      </c>
      <c r="AA19" s="136" t="s">
        <v>21</v>
      </c>
      <c r="AB19" s="123" t="s">
        <v>122</v>
      </c>
      <c r="AC19" s="123" t="s">
        <v>22</v>
      </c>
      <c r="AD19" s="286" t="s">
        <v>23</v>
      </c>
      <c r="AE19" s="278"/>
      <c r="AF19" s="293"/>
      <c r="AG19" s="10"/>
      <c r="AH19" s="8"/>
      <c r="AI19" s="8"/>
      <c r="AJ19" s="8"/>
      <c r="AK19" s="8"/>
      <c r="AL19" s="8"/>
      <c r="AM19" s="70" t="s">
        <v>83</v>
      </c>
      <c r="AN19" s="233">
        <f>_xlfn.PERCENTILE.EXC(AF21:AF494,0.5)</f>
        <v>0.24514395706602243</v>
      </c>
      <c r="AO19" s="253">
        <f>$AU$19*(($AM$12/($AM$12+$AK$9))*(1+$AM$15)-$AM$15)/(($AM$15+1)*POWER(($AP$19-($AM$12/($AM$12+$AK$9))*($AP$19+1)),2))</f>
        <v>1.4399344122413095E-2</v>
      </c>
      <c r="AP19" s="243">
        <f>($AK$15+$AN$19*$AK$12)/((1-$AK$15)+$AF$18*(1-$AK$12))</f>
        <v>5.0652285240259977E-2</v>
      </c>
      <c r="AQ19" s="244">
        <f>ROUND($AK$7*$AP$19/($AM$4+1),0)</f>
        <v>723</v>
      </c>
      <c r="AR19" s="245">
        <f>ROUND($AK$7/($AP$19+1),0)</f>
        <v>14277</v>
      </c>
      <c r="AS19" s="245">
        <f t="shared" ref="AS19:AT20" si="0">ROUND(SQRT(AQ19),0)</f>
        <v>27</v>
      </c>
      <c r="AT19" s="245">
        <f t="shared" si="0"/>
        <v>119</v>
      </c>
      <c r="AU19" s="246">
        <f>SQRT(($AS$19/$AR$19)^2+($AQ$19*$AT$19/($AR$19*$AR$19))^2)</f>
        <v>1.9376860092822793E-3</v>
      </c>
      <c r="AV19" s="257">
        <f>-$AN$26*($AN$20-$AN$18)/($AN$19)^2</f>
        <v>-4.0064411469045185</v>
      </c>
    </row>
    <row r="20" spans="1:188" ht="21" customHeight="1" x14ac:dyDescent="0.35">
      <c r="B20" s="154" t="s">
        <v>0</v>
      </c>
      <c r="C20" s="155" t="s">
        <v>1</v>
      </c>
      <c r="D20" s="155" t="s">
        <v>2</v>
      </c>
      <c r="E20" s="156" t="s">
        <v>3</v>
      </c>
      <c r="F20" s="157" t="s">
        <v>4</v>
      </c>
      <c r="G20" s="156" t="s">
        <v>5</v>
      </c>
      <c r="H20" s="155" t="s">
        <v>6</v>
      </c>
      <c r="I20" s="154" t="s">
        <v>7</v>
      </c>
      <c r="J20" s="155" t="s">
        <v>8</v>
      </c>
      <c r="L20" s="124"/>
      <c r="M20" s="124"/>
      <c r="N20" s="124"/>
      <c r="O20" s="124"/>
      <c r="P20" s="121"/>
      <c r="Q20" s="140"/>
      <c r="R20" s="137"/>
      <c r="S20" s="23"/>
      <c r="T20" s="140"/>
      <c r="U20" s="18"/>
      <c r="V20" s="124"/>
      <c r="W20" s="124"/>
      <c r="X20" s="127"/>
      <c r="Y20" s="130"/>
      <c r="Z20" s="131"/>
      <c r="AA20" s="131"/>
      <c r="AB20" s="131"/>
      <c r="AC20" s="131"/>
      <c r="AD20" s="287"/>
      <c r="AE20" s="276"/>
      <c r="AF20" s="294" t="s">
        <v>127</v>
      </c>
      <c r="AG20" s="119" t="s">
        <v>128</v>
      </c>
      <c r="AH20" s="120" t="s">
        <v>129</v>
      </c>
      <c r="AI20" s="120" t="s">
        <v>130</v>
      </c>
      <c r="AJ20" s="120" t="s">
        <v>131</v>
      </c>
      <c r="AK20" s="120" t="s">
        <v>132</v>
      </c>
      <c r="AL20" s="40" t="s">
        <v>133</v>
      </c>
      <c r="AM20" s="70" t="s">
        <v>85</v>
      </c>
      <c r="AN20" s="234">
        <f>_xlfn.PERCENTILE.EXC(AF21:AF494,0.84)</f>
        <v>0.48679444707228214</v>
      </c>
      <c r="AO20" s="254">
        <f>$AU$20*(($AM$12/($AM$12+$AK$9))*(1+$AM$15)-$AM$15)/(($AM$15+1)*POWER(($AP$20-($AM$12/($AM$12+$AK$9))*($AP$20+1)),2))</f>
        <v>3.2198320468680083E-2</v>
      </c>
      <c r="AP20" s="247">
        <f>($AK$15+$AN$20*$AK$12)/((1-$AK$15)+$AF$18*(1-$AK$12))</f>
        <v>9.1433214724551432E-2</v>
      </c>
      <c r="AQ20" s="248">
        <f>ROUND($AK$7*$AP$20/($AM$4+1),0)</f>
        <v>1305</v>
      </c>
      <c r="AR20" s="249">
        <f>ROUND($AK$7/($AP$20+1),0)</f>
        <v>13743</v>
      </c>
      <c r="AS20" s="249">
        <f t="shared" si="0"/>
        <v>36</v>
      </c>
      <c r="AT20" s="249">
        <f t="shared" si="0"/>
        <v>117</v>
      </c>
      <c r="AU20" s="250">
        <f>SQRT(($AS$20/$AR$20)^2+($AQ$20*$AT$20/($AR$20*$AR$20))^2)</f>
        <v>2.7414216075207385E-3</v>
      </c>
      <c r="AV20" s="258">
        <f>$AN$26/$AN$19</f>
        <v>2.0396178881347642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</row>
    <row r="21" spans="1:188" s="37" customFormat="1" ht="21" customHeight="1" x14ac:dyDescent="0.35">
      <c r="A21" s="158"/>
      <c r="B21" s="159">
        <v>1</v>
      </c>
      <c r="C21" s="159">
        <v>6.67</v>
      </c>
      <c r="D21" s="159">
        <v>352.67</v>
      </c>
      <c r="E21" s="160">
        <v>1.8020000000000001E-2</v>
      </c>
      <c r="F21" s="160">
        <v>9.7609999999999995E-5</v>
      </c>
      <c r="G21" s="159">
        <v>0.54159999999999997</v>
      </c>
      <c r="H21" s="159">
        <v>0.57999999999999996</v>
      </c>
      <c r="I21" s="159">
        <v>174</v>
      </c>
      <c r="J21" s="220">
        <v>1.98</v>
      </c>
      <c r="K21" s="161"/>
      <c r="L21" s="162">
        <f>J21*SQRT(I21/(J21-1+PI()/4))*$D$15/$D$16</f>
        <v>0.76785375756227581</v>
      </c>
      <c r="M21" s="163">
        <f>SQRT(I21/(J21-1+PI()/4))*$D$15/$D$16</f>
        <v>0.38780492806175548</v>
      </c>
      <c r="N21" s="162">
        <f>0.5*PI()*M21*M21*(M21/3+(L21-M21)/2)</f>
        <v>7.5428513050715601E-2</v>
      </c>
      <c r="O21" s="162">
        <f t="shared" ref="O21:O84" si="1">$M$12*N21</f>
        <v>95.718783061358096</v>
      </c>
      <c r="P21" s="162">
        <f t="shared" ref="P21:P84" si="2">O21*AF21</f>
        <v>3.6864470036767618</v>
      </c>
      <c r="Q21" s="164">
        <f t="shared" ref="Q21:Q84" si="3">P21/$M$15</f>
        <v>3.6864470036767618</v>
      </c>
      <c r="R21" s="165">
        <f t="shared" ref="R21:R84" si="4">SQRT(SUMSQ($M$13*N21*AF21/$M$15,AG21*$M$12*N21/$M$15,$M$16*$M$12*N21*AF21/($M$15*$M$15)))</f>
        <v>0.85454394663930389</v>
      </c>
      <c r="S21" s="166">
        <f t="shared" ref="S21:S84" si="5">$M$12*AF21/$M$15</f>
        <v>48.87338825303528</v>
      </c>
      <c r="T21" s="166">
        <f t="shared" ref="T21:T84" si="6">SQRT(SUMSQ($M$13*AF21/$M$15,AG21*$M$12/$M$15,$M$16*$M$12*AF21/($M$15*$M$15)))</f>
        <v>11.329189878961781</v>
      </c>
      <c r="U21" s="167"/>
      <c r="V21" s="168">
        <f>E21/(E21+1)</f>
        <v>1.7701027484725254E-2</v>
      </c>
      <c r="W21" s="168">
        <f>ABS(F21/((E21+1)*(E21+1)))</f>
        <v>9.4184989201799539E-5</v>
      </c>
      <c r="X21" s="169">
        <f t="shared" ref="X21:X84" si="7">(E21+$AB$15*(E21-$AB$12*(E21+1)))/(1-$AB$15*(E21-$AB$12*(E21+1)))</f>
        <v>1.8339347333340784E-2</v>
      </c>
      <c r="Y21" s="169">
        <f t="shared" ref="Y21:Y84" si="8">SQRT(SUMSQ(Z21*F21, AA21*$AB$16, AB21*$AB$13))</f>
        <v>1.1542516575889076E-4</v>
      </c>
      <c r="Z21" s="170">
        <f t="shared" ref="Z21:Z84" si="9">((1+$AB$15-$AB$15*$AB$12)*(1-$AB$15*(E21-$AB$12*(E21+1)))-(E21+$AB$15*(E21-$AB$12*(E21+1)))*($AB$15*$AB$12-$AB$15))/((1-$AB$15*(E21-$AB$12*(E21+1)))*(1-$AB$15*(E21-$AB$12*(E21+1))))</f>
        <v>1.0446550969699484</v>
      </c>
      <c r="AA21" s="170">
        <f t="shared" ref="AA21:AA84" si="10">(E21+1)*(E21-E21*$AB$12-$AB$12)/((1-$AB$15*(E21-$AB$12*(E21+1)))*(1-$AB$15*(E21-$AB$12*(E21+1))))</f>
        <v>7.260170701390469E-3</v>
      </c>
      <c r="AB21" s="170">
        <f t="shared" ref="AB21:AB84" si="11">(-$AB$15*(E21+1)*(E21+1))/((1-$AB$15*(E21-$AB$12*(E21+1)))*(1-$AB$15*(E21-$AB$12*(E21+1))))</f>
        <v>-4.5628661158400939E-2</v>
      </c>
      <c r="AC21" s="170">
        <f>X21/(X21+1)</f>
        <v>1.800907269405316E-2</v>
      </c>
      <c r="AD21" s="170">
        <f>Y21/((X21+1)*(X21+1))</f>
        <v>1.1130520082016745E-4</v>
      </c>
      <c r="AE21" s="267"/>
      <c r="AF21" s="221">
        <f t="shared" ref="AF21:AF84" si="12">($AM$15-X21)/(($AM$15+1)*(X21-($AM$12/($AM$12+$AK$9))*(X21+1)))</f>
        <v>3.8513308316024647E-2</v>
      </c>
      <c r="AG21" s="171">
        <f t="shared" ref="AG21:AG84" si="13">SQRT(SUMSQ(AH21*$AM$16, AI21*Y21,AJ21*$AM$13,AK21*$AK$10))</f>
        <v>5.7463695301784874E-3</v>
      </c>
      <c r="AH21" s="147">
        <f t="shared" ref="AH21:AH84" si="14">(1+X21)/(POWER(($AM$15+1),2)*(X21-($AM$12/($AM$12+$AK$9))*(X21+1)))</f>
        <v>-5.3745591303882438</v>
      </c>
      <c r="AI21" s="147">
        <f t="shared" ref="AI21:AI84" si="15">(($AM$12/($AM$12+$AK$9))*(1+$AM$15)-$AM$15)/(($AM$15+1)*POWER((X21-($AM$12/($AM$12+$AK$9))*(X21+1)),2))</f>
        <v>5.5027182805631858</v>
      </c>
      <c r="AJ21" s="147">
        <f t="shared" ref="AJ21:AJ84" si="16">(1/$AK$9)*($AM$15*$AM$15*X21-$AM$15*X21*X21+$AM$15*$AM$15-X21*X21+$AM$15-X21)/POWER(($AM$15+1)*(X21-($AM$12/($AM$12+$AK$9))*(X21+1))*(($AM$12/$AK$9)+1),2)</f>
        <v>-0.13543816544667028</v>
      </c>
      <c r="AK21" s="147">
        <f t="shared" ref="AK21:AK84" si="17">$AM$12*($AM$15*$AM$15*X21-$AM$15*X21*X21+$AM$15*$AM$15-X21*X21+$AM$15-X21)/POWER(($AM$15+1)*(X21-($AM$12/($AM$12+$AK$9))*(X21+1))*(($AM$12/$AK$9)+1),2)</f>
        <v>-3.3859541361667571E-2</v>
      </c>
      <c r="AL21" s="148">
        <f>ABS(AF21-$AF$18)</f>
        <v>0.20663064874999779</v>
      </c>
      <c r="AM21" s="71" t="s">
        <v>92</v>
      </c>
      <c r="AN21" s="73">
        <f>_xlfn.PERCENTILE.EXC(AF21:AF494,0.1)</f>
        <v>3.3894341485235669E-3</v>
      </c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</row>
    <row r="22" spans="1:188" ht="21" customHeight="1" x14ac:dyDescent="0.35">
      <c r="A22" s="172"/>
      <c r="B22" s="159">
        <v>2</v>
      </c>
      <c r="C22" s="159">
        <v>12.71</v>
      </c>
      <c r="D22" s="159">
        <v>327.24</v>
      </c>
      <c r="E22" s="160">
        <v>5.3929999999999999E-2</v>
      </c>
      <c r="F22" s="160">
        <v>1.077E-4</v>
      </c>
      <c r="G22" s="159">
        <v>0.1996</v>
      </c>
      <c r="H22" s="159">
        <v>0.95</v>
      </c>
      <c r="I22" s="159">
        <v>461</v>
      </c>
      <c r="J22" s="220">
        <v>1.69</v>
      </c>
      <c r="K22" s="173"/>
      <c r="L22" s="174">
        <f t="shared" ref="L22:L85" si="18">J22*SQRT(I22/(J22-1+PI()/4))*$D$15/$D$16</f>
        <v>1.1669240288101443</v>
      </c>
      <c r="M22" s="174">
        <f t="shared" ref="M22:M85" si="19">SQRT(I22/(J22-1+PI()/4))*$D$15/$D$16</f>
        <v>0.6904875910119197</v>
      </c>
      <c r="N22" s="174">
        <f t="shared" ref="N22:N85" si="20">0.5*PI()*M22*M22*(M22/3+(L22-M22)/2)</f>
        <v>0.35077664523700458</v>
      </c>
      <c r="O22" s="174">
        <f t="shared" si="1"/>
        <v>445.13556280575881</v>
      </c>
      <c r="P22" s="174">
        <f t="shared" si="2"/>
        <v>126.99118447592048</v>
      </c>
      <c r="Q22" s="175">
        <f t="shared" si="3"/>
        <v>126.99118447592048</v>
      </c>
      <c r="R22" s="176">
        <f t="shared" si="4"/>
        <v>23.380125982178352</v>
      </c>
      <c r="S22" s="177">
        <f t="shared" si="5"/>
        <v>362.02861906646621</v>
      </c>
      <c r="T22" s="177">
        <f t="shared" si="6"/>
        <v>66.652459049494041</v>
      </c>
      <c r="U22" s="167"/>
      <c r="V22" s="178">
        <f t="shared" ref="V22:V85" si="21">E22/(E22+1)</f>
        <v>5.1170381334623739E-2</v>
      </c>
      <c r="W22" s="179">
        <f t="shared" ref="W22:W85" si="22">ABS(F22/((E22+1)*(E22+1)))</f>
        <v>9.6959902394144778E-5</v>
      </c>
      <c r="X22" s="180">
        <f t="shared" si="7"/>
        <v>5.5911660833593779E-2</v>
      </c>
      <c r="Y22" s="180">
        <f t="shared" si="8"/>
        <v>2.1845145784952743E-4</v>
      </c>
      <c r="Z22" s="181">
        <f t="shared" si="9"/>
        <v>1.0479296706618839</v>
      </c>
      <c r="AA22" s="181">
        <f t="shared" si="10"/>
        <v>4.5122428822875441E-2</v>
      </c>
      <c r="AB22" s="181">
        <f t="shared" si="11"/>
        <v>-4.905777516131176E-2</v>
      </c>
      <c r="AC22" s="181">
        <f t="shared" ref="AC22:AC85" si="23">X22/(X22+1)</f>
        <v>5.2951078113347184E-2</v>
      </c>
      <c r="AD22" s="181">
        <f t="shared" ref="AD22:AD85" si="24">Y22/((X22+1)*(X22+1))</f>
        <v>1.9592947527223727E-4</v>
      </c>
      <c r="AE22" s="267"/>
      <c r="AF22" s="182">
        <f t="shared" si="12"/>
        <v>0.28528653984749108</v>
      </c>
      <c r="AG22" s="182">
        <f t="shared" si="13"/>
        <v>1.40442875799988E-2</v>
      </c>
      <c r="AH22" s="149">
        <f t="shared" si="14"/>
        <v>-6.6516706647733725</v>
      </c>
      <c r="AI22" s="149">
        <f t="shared" si="15"/>
        <v>7.8394021319486171</v>
      </c>
      <c r="AJ22" s="149">
        <f t="shared" si="16"/>
        <v>-1.2416506232064177</v>
      </c>
      <c r="AK22" s="149">
        <f t="shared" si="17"/>
        <v>-0.31041265580160443</v>
      </c>
      <c r="AL22" s="148">
        <f t="shared" ref="AL22:AL85" si="25">ABS(AF22-$AF$18)</f>
        <v>4.014258278146865E-2</v>
      </c>
      <c r="AM22" s="71" t="s">
        <v>93</v>
      </c>
      <c r="AN22" s="73">
        <f>_xlfn.PERCENTILE.EXC(AF21:AF494,0.9)</f>
        <v>0.52125394940411551</v>
      </c>
      <c r="AR22" s="38"/>
      <c r="AS22" s="38"/>
      <c r="AT22" s="38"/>
      <c r="AU22" s="38"/>
      <c r="AV22" s="255" t="s">
        <v>150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</row>
    <row r="23" spans="1:188" ht="21" customHeight="1" x14ac:dyDescent="0.35">
      <c r="A23" s="172"/>
      <c r="B23" s="159">
        <v>3</v>
      </c>
      <c r="C23" s="159">
        <v>16.34</v>
      </c>
      <c r="D23" s="159">
        <v>364.14</v>
      </c>
      <c r="E23" s="160">
        <v>2.5690000000000001E-2</v>
      </c>
      <c r="F23" s="160">
        <v>1.1519999999999999E-4</v>
      </c>
      <c r="G23" s="159">
        <v>0.44819999999999999</v>
      </c>
      <c r="H23" s="159">
        <v>0.57999999999999996</v>
      </c>
      <c r="I23" s="159">
        <v>175</v>
      </c>
      <c r="J23" s="220">
        <v>1.51</v>
      </c>
      <c r="K23" s="173"/>
      <c r="L23" s="174">
        <f t="shared" si="18"/>
        <v>0.68557404574084968</v>
      </c>
      <c r="M23" s="174">
        <f t="shared" si="19"/>
        <v>0.45402254684824478</v>
      </c>
      <c r="N23" s="174">
        <f t="shared" si="20"/>
        <v>8.6491931095248067E-2</v>
      </c>
      <c r="O23" s="174">
        <f t="shared" si="1"/>
        <v>109.7582605598698</v>
      </c>
      <c r="P23" s="174">
        <f t="shared" si="2"/>
        <v>9.2415658071618427</v>
      </c>
      <c r="Q23" s="175">
        <f t="shared" si="3"/>
        <v>9.2415658071618427</v>
      </c>
      <c r="R23" s="176">
        <f t="shared" si="4"/>
        <v>1.7920828037675429</v>
      </c>
      <c r="S23" s="177">
        <f t="shared" si="5"/>
        <v>106.84887815702362</v>
      </c>
      <c r="T23" s="177">
        <f t="shared" si="6"/>
        <v>20.719653048259914</v>
      </c>
      <c r="U23" s="167"/>
      <c r="V23" s="178">
        <f t="shared" si="21"/>
        <v>2.5046554027045208E-2</v>
      </c>
      <c r="W23" s="179">
        <f t="shared" si="22"/>
        <v>1.0950154235303493E-4</v>
      </c>
      <c r="X23" s="180">
        <f t="shared" si="7"/>
        <v>2.6354528786881468E-2</v>
      </c>
      <c r="Y23" s="180">
        <f t="shared" si="8"/>
        <v>1.4249460128616274E-4</v>
      </c>
      <c r="Z23" s="181">
        <f t="shared" si="9"/>
        <v>1.0453532213326324</v>
      </c>
      <c r="AA23" s="181">
        <f t="shared" si="10"/>
        <v>1.5112711928844521E-2</v>
      </c>
      <c r="AB23" s="181">
        <f t="shared" si="11"/>
        <v>-4.6349759225499013E-2</v>
      </c>
      <c r="AC23" s="181">
        <f t="shared" si="23"/>
        <v>2.56778024042352E-2</v>
      </c>
      <c r="AD23" s="181">
        <f t="shared" si="24"/>
        <v>1.3527065860445488E-4</v>
      </c>
      <c r="AE23" s="267"/>
      <c r="AF23" s="182">
        <f t="shared" si="12"/>
        <v>8.4199273567394498E-2</v>
      </c>
      <c r="AG23" s="182">
        <f t="shared" si="13"/>
        <v>6.5927726480865222E-3</v>
      </c>
      <c r="AH23" s="149">
        <f t="shared" si="14"/>
        <v>-5.6109951198995409</v>
      </c>
      <c r="AI23" s="149">
        <f t="shared" si="15"/>
        <v>5.9042075227586377</v>
      </c>
      <c r="AJ23" s="149">
        <f t="shared" si="16"/>
        <v>-0.30912606556333183</v>
      </c>
      <c r="AK23" s="149">
        <f t="shared" si="17"/>
        <v>-7.7281516390832958E-2</v>
      </c>
      <c r="AL23" s="148">
        <f t="shared" si="25"/>
        <v>0.16094468349862795</v>
      </c>
      <c r="AM23" s="70" t="s">
        <v>99</v>
      </c>
      <c r="AN23" s="73">
        <f>AN20-AN18</f>
        <v>0.48153864614439618</v>
      </c>
      <c r="AV23" s="257">
        <f>($AN$26/$AN$19)*($AN$18-$AN$20)/SQRT(($AN$20-$AN$18)^2-(($AO$18)^2+($AO$20)^2))</f>
        <v>-2.0442697732139243</v>
      </c>
    </row>
    <row r="24" spans="1:188" ht="21" customHeight="1" x14ac:dyDescent="0.35">
      <c r="A24" s="172"/>
      <c r="B24" s="159">
        <v>4</v>
      </c>
      <c r="C24" s="159">
        <v>17.52</v>
      </c>
      <c r="D24" s="159">
        <v>289.76</v>
      </c>
      <c r="E24" s="160">
        <v>5.9360000000000003E-2</v>
      </c>
      <c r="F24" s="160">
        <v>9.6819999999999998E-5</v>
      </c>
      <c r="G24" s="159">
        <v>0.16309999999999999</v>
      </c>
      <c r="H24" s="159">
        <v>1.1299999999999999</v>
      </c>
      <c r="I24" s="159">
        <v>656</v>
      </c>
      <c r="J24" s="220">
        <v>2.13</v>
      </c>
      <c r="K24" s="173"/>
      <c r="L24" s="174">
        <f t="shared" si="18"/>
        <v>1.5397918779215494</v>
      </c>
      <c r="M24" s="174">
        <f t="shared" si="19"/>
        <v>0.72290698493969463</v>
      </c>
      <c r="N24" s="174">
        <f t="shared" si="20"/>
        <v>0.53309505617591202</v>
      </c>
      <c r="O24" s="174">
        <f t="shared" si="1"/>
        <v>676.49762628723238</v>
      </c>
      <c r="P24" s="174">
        <f t="shared" si="2"/>
        <v>224.09206734991901</v>
      </c>
      <c r="Q24" s="175">
        <f t="shared" si="3"/>
        <v>224.09206734991901</v>
      </c>
      <c r="R24" s="176">
        <f t="shared" si="4"/>
        <v>41.264031035289499</v>
      </c>
      <c r="S24" s="177">
        <f t="shared" si="5"/>
        <v>420.36043057201516</v>
      </c>
      <c r="T24" s="177">
        <f t="shared" si="6"/>
        <v>77.404640236755625</v>
      </c>
      <c r="U24" s="167"/>
      <c r="V24" s="178">
        <f t="shared" si="21"/>
        <v>5.6033831747470168E-2</v>
      </c>
      <c r="W24" s="179">
        <f t="shared" si="22"/>
        <v>8.6273603317295271E-5</v>
      </c>
      <c r="X24" s="180">
        <f t="shared" si="7"/>
        <v>6.1603266762994241E-2</v>
      </c>
      <c r="Y24" s="180">
        <f t="shared" si="8"/>
        <v>2.3351253754616861E-4</v>
      </c>
      <c r="Z24" s="181">
        <f t="shared" si="9"/>
        <v>1.0484261632332339</v>
      </c>
      <c r="AA24" s="181">
        <f t="shared" si="10"/>
        <v>5.1091296198895561E-2</v>
      </c>
      <c r="AB24" s="181">
        <f t="shared" si="11"/>
        <v>-4.9588065824081901E-2</v>
      </c>
      <c r="AC24" s="181">
        <f t="shared" si="23"/>
        <v>5.8028520344358868E-2</v>
      </c>
      <c r="AD24" s="181">
        <f t="shared" si="24"/>
        <v>2.0719807238461999E-4</v>
      </c>
      <c r="AE24" s="267"/>
      <c r="AF24" s="182">
        <f t="shared" si="12"/>
        <v>0.33125329438299067</v>
      </c>
      <c r="AG24" s="182">
        <f t="shared" si="13"/>
        <v>1.63448916841499E-2</v>
      </c>
      <c r="AH24" s="149">
        <f t="shared" si="14"/>
        <v>-6.8895598071702899</v>
      </c>
      <c r="AI24" s="149">
        <f t="shared" si="15"/>
        <v>8.3202254489787197</v>
      </c>
      <c r="AJ24" s="149">
        <f t="shared" si="16"/>
        <v>-1.4932725144468146</v>
      </c>
      <c r="AK24" s="149">
        <f t="shared" si="17"/>
        <v>-0.37331812861170366</v>
      </c>
      <c r="AL24" s="148">
        <f t="shared" si="25"/>
        <v>8.6109337316968237E-2</v>
      </c>
      <c r="AM24" s="70" t="s">
        <v>87</v>
      </c>
      <c r="AN24" s="73">
        <f>(($AN$20-$AN$19)-($AN$19-$AN$18))/($AN$20-$AN$18)</f>
        <v>3.6597973646226439E-3</v>
      </c>
      <c r="AV24" s="257">
        <f>-($AN$26/($AN$19)^2)*SQRT(($AN$20-$AN$18)^2-(($AO$18)^2+($AO$20)^2))</f>
        <v>-3.9973241976466336</v>
      </c>
    </row>
    <row r="25" spans="1:188" ht="21" customHeight="1" x14ac:dyDescent="0.35">
      <c r="A25" s="172"/>
      <c r="B25" s="159">
        <v>5</v>
      </c>
      <c r="C25" s="159">
        <v>26.91</v>
      </c>
      <c r="D25" s="159">
        <v>354.38</v>
      </c>
      <c r="E25" s="160">
        <v>5.543E-2</v>
      </c>
      <c r="F25" s="160">
        <v>1.128E-4</v>
      </c>
      <c r="G25" s="159">
        <v>0.20349999999999999</v>
      </c>
      <c r="H25" s="159">
        <v>0.88</v>
      </c>
      <c r="I25" s="159">
        <v>396</v>
      </c>
      <c r="J25" s="220">
        <v>1.97</v>
      </c>
      <c r="K25" s="173"/>
      <c r="L25" s="174">
        <f t="shared" si="18"/>
        <v>1.1558088991530817</v>
      </c>
      <c r="M25" s="174">
        <f t="shared" si="19"/>
        <v>0.58670502495080301</v>
      </c>
      <c r="N25" s="174">
        <f t="shared" si="20"/>
        <v>0.25960290158365973</v>
      </c>
      <c r="O25" s="174">
        <f t="shared" si="1"/>
        <v>329.4360821096642</v>
      </c>
      <c r="P25" s="174">
        <f t="shared" si="2"/>
        <v>98.076642386082966</v>
      </c>
      <c r="Q25" s="175">
        <f t="shared" si="3"/>
        <v>98.076642386082966</v>
      </c>
      <c r="R25" s="176">
        <f t="shared" si="4"/>
        <v>18.056389184233172</v>
      </c>
      <c r="S25" s="177">
        <f t="shared" si="5"/>
        <v>377.79486202883118</v>
      </c>
      <c r="T25" s="177">
        <f t="shared" si="6"/>
        <v>69.553880461595355</v>
      </c>
      <c r="U25" s="167"/>
      <c r="V25" s="178">
        <f t="shared" si="21"/>
        <v>5.2518878561344663E-2</v>
      </c>
      <c r="W25" s="179">
        <f t="shared" si="22"/>
        <v>1.0126286963444312E-4</v>
      </c>
      <c r="X25" s="180">
        <f t="shared" si="7"/>
        <v>5.7483658174259461E-2</v>
      </c>
      <c r="Y25" s="180">
        <f t="shared" si="8"/>
        <v>2.2669075988902195E-4</v>
      </c>
      <c r="Z25" s="181">
        <f t="shared" si="9"/>
        <v>1.048066788044042</v>
      </c>
      <c r="AA25" s="181">
        <f t="shared" si="10"/>
        <v>4.676486789002348E-2</v>
      </c>
      <c r="AB25" s="181">
        <f t="shared" si="11"/>
        <v>-4.920395424144703E-2</v>
      </c>
      <c r="AC25" s="181">
        <f t="shared" si="23"/>
        <v>5.435890921804383E-2</v>
      </c>
      <c r="AD25" s="181">
        <f t="shared" si="24"/>
        <v>2.0271528150302647E-4</v>
      </c>
      <c r="AE25" s="267"/>
      <c r="AF25" s="182">
        <f t="shared" si="12"/>
        <v>0.29771068717795995</v>
      </c>
      <c r="AG25" s="182">
        <f t="shared" si="13"/>
        <v>1.4652156833418882E-2</v>
      </c>
      <c r="AH25" s="149">
        <f t="shared" si="14"/>
        <v>-6.7159686510750953</v>
      </c>
      <c r="AI25" s="149">
        <f t="shared" si="15"/>
        <v>7.9679505263322028</v>
      </c>
      <c r="AJ25" s="149">
        <f t="shared" si="16"/>
        <v>-1.3082491951337416</v>
      </c>
      <c r="AK25" s="149">
        <f t="shared" si="17"/>
        <v>-0.3270622987834354</v>
      </c>
      <c r="AL25" s="148">
        <f t="shared" si="25"/>
        <v>5.2566730111937521E-2</v>
      </c>
      <c r="AM25" s="70" t="s">
        <v>134</v>
      </c>
      <c r="AN25" s="231">
        <f>SQRT(($AN$23)^2-1*(($AO$18)^2+($AO$20)^2))</f>
        <v>0.48044286980783352</v>
      </c>
      <c r="AO25" s="262"/>
      <c r="AV25" s="257">
        <f>($AN$26/$AN$19)*($AN$20-$AN$18)/SQRT(($AN$20-$AN$18)^2-(($AO$18)^2+($AO$20)^2))</f>
        <v>2.0442697732139243</v>
      </c>
    </row>
    <row r="26" spans="1:188" ht="21" customHeight="1" x14ac:dyDescent="0.35">
      <c r="A26" s="172"/>
      <c r="B26" s="159">
        <v>6</v>
      </c>
      <c r="C26" s="159">
        <v>46.2</v>
      </c>
      <c r="D26" s="159">
        <v>89.62</v>
      </c>
      <c r="E26" s="160">
        <v>3.422E-2</v>
      </c>
      <c r="F26" s="160">
        <v>7.9850000000000003E-5</v>
      </c>
      <c r="G26" s="159">
        <v>0.23330000000000001</v>
      </c>
      <c r="H26" s="159">
        <v>1.02</v>
      </c>
      <c r="I26" s="159">
        <v>531</v>
      </c>
      <c r="J26" s="220">
        <v>1.72</v>
      </c>
      <c r="K26" s="173"/>
      <c r="L26" s="174">
        <f t="shared" si="18"/>
        <v>1.2618567383678791</v>
      </c>
      <c r="M26" s="174">
        <f t="shared" si="19"/>
        <v>0.73363763858597619</v>
      </c>
      <c r="N26" s="174">
        <f t="shared" si="20"/>
        <v>0.43003793740160601</v>
      </c>
      <c r="O26" s="174">
        <f t="shared" si="1"/>
        <v>545.71814256263804</v>
      </c>
      <c r="P26" s="174">
        <f t="shared" si="2"/>
        <v>75.884148966882847</v>
      </c>
      <c r="Q26" s="175">
        <f t="shared" si="3"/>
        <v>75.884148966882847</v>
      </c>
      <c r="R26" s="176">
        <f t="shared" si="4"/>
        <v>14.166321026796306</v>
      </c>
      <c r="S26" s="177">
        <f t="shared" si="5"/>
        <v>176.45919665923745</v>
      </c>
      <c r="T26" s="177">
        <f t="shared" si="6"/>
        <v>32.942026260270595</v>
      </c>
      <c r="U26" s="167"/>
      <c r="V26" s="178">
        <f t="shared" si="21"/>
        <v>3.3087737618688481E-2</v>
      </c>
      <c r="W26" s="179">
        <f t="shared" si="22"/>
        <v>7.4653307952996211E-5</v>
      </c>
      <c r="X26" s="180">
        <f t="shared" si="7"/>
        <v>3.5274706008867486E-2</v>
      </c>
      <c r="Y26" s="180">
        <f t="shared" si="8"/>
        <v>1.3569819752589997E-4</v>
      </c>
      <c r="Z26" s="181">
        <f t="shared" si="9"/>
        <v>1.0461304452346958</v>
      </c>
      <c r="AA26" s="181">
        <f t="shared" si="10"/>
        <v>2.3995036515355186E-2</v>
      </c>
      <c r="AB26" s="181">
        <f t="shared" si="11"/>
        <v>-4.7158923543676859E-2</v>
      </c>
      <c r="AC26" s="181">
        <f t="shared" si="23"/>
        <v>3.4072798073910782E-2</v>
      </c>
      <c r="AD26" s="181">
        <f t="shared" si="24"/>
        <v>1.2660850253737741E-4</v>
      </c>
      <c r="AE26" s="267"/>
      <c r="AF26" s="182">
        <f t="shared" si="12"/>
        <v>0.13905374047221233</v>
      </c>
      <c r="AG26" s="182">
        <f t="shared" si="13"/>
        <v>8.0823074782809638E-3</v>
      </c>
      <c r="AH26" s="149">
        <f t="shared" si="14"/>
        <v>-5.8948803369546061</v>
      </c>
      <c r="AI26" s="149">
        <f t="shared" si="15"/>
        <v>6.4049451972295737</v>
      </c>
      <c r="AJ26" s="149">
        <f t="shared" si="16"/>
        <v>-0.53634601722421404</v>
      </c>
      <c r="AK26" s="149">
        <f t="shared" si="17"/>
        <v>-0.13408650430605351</v>
      </c>
      <c r="AL26" s="148">
        <f t="shared" si="25"/>
        <v>0.1060902165938101</v>
      </c>
      <c r="AM26" s="223" t="s">
        <v>155</v>
      </c>
      <c r="AN26" s="224">
        <f>0.5*(1+$AK$6*ABS($AN$24))</f>
        <v>0.5</v>
      </c>
    </row>
    <row r="27" spans="1:188" ht="21" customHeight="1" x14ac:dyDescent="0.35">
      <c r="A27" s="172"/>
      <c r="B27" s="159">
        <v>50</v>
      </c>
      <c r="C27" s="159">
        <v>324.95</v>
      </c>
      <c r="D27" s="159">
        <v>11.4</v>
      </c>
      <c r="E27" s="160">
        <v>8.0030000000000004E-2</v>
      </c>
      <c r="F27" s="160">
        <v>1.3909999999999999E-4</v>
      </c>
      <c r="G27" s="159">
        <v>0.17380000000000001</v>
      </c>
      <c r="H27" s="159">
        <v>0.79</v>
      </c>
      <c r="I27" s="159">
        <v>320</v>
      </c>
      <c r="J27" s="220">
        <v>1.37</v>
      </c>
      <c r="K27" s="173"/>
      <c r="L27" s="174">
        <f t="shared" si="18"/>
        <v>0.89061448568658741</v>
      </c>
      <c r="M27" s="174">
        <f t="shared" si="19"/>
        <v>0.65008356619458929</v>
      </c>
      <c r="N27" s="174">
        <f t="shared" si="20"/>
        <v>0.2236848537409139</v>
      </c>
      <c r="O27" s="174">
        <f t="shared" si="1"/>
        <v>283.85607939721973</v>
      </c>
      <c r="P27" s="174">
        <f t="shared" si="2"/>
        <v>151.92111789599065</v>
      </c>
      <c r="Q27" s="175">
        <f t="shared" si="3"/>
        <v>151.92111789599065</v>
      </c>
      <c r="R27" s="176">
        <f t="shared" si="4"/>
        <v>28.148321692442195</v>
      </c>
      <c r="S27" s="177">
        <f t="shared" si="5"/>
        <v>679.17480935904314</v>
      </c>
      <c r="T27" s="177">
        <f t="shared" si="6"/>
        <v>125.83919394491225</v>
      </c>
      <c r="U27" s="167"/>
      <c r="V27" s="178">
        <f t="shared" si="21"/>
        <v>7.4099793524253957E-2</v>
      </c>
      <c r="W27" s="179">
        <f t="shared" si="22"/>
        <v>1.1924920485613943E-4</v>
      </c>
      <c r="X27" s="180">
        <f t="shared" si="7"/>
        <v>8.3293792903269853E-2</v>
      </c>
      <c r="Y27" s="180">
        <f t="shared" si="8"/>
        <v>3.3552945056693429E-4</v>
      </c>
      <c r="Z27" s="181">
        <f t="shared" si="9"/>
        <v>1.0503193583159529</v>
      </c>
      <c r="AA27" s="181">
        <f t="shared" si="10"/>
        <v>7.4401270701949448E-2</v>
      </c>
      <c r="AB27" s="181">
        <f t="shared" si="11"/>
        <v>-5.1635119436681108E-2</v>
      </c>
      <c r="AC27" s="181">
        <f t="shared" si="23"/>
        <v>7.688938443932114E-2</v>
      </c>
      <c r="AD27" s="181">
        <f t="shared" si="24"/>
        <v>2.859157872782493E-4</v>
      </c>
      <c r="AE27" s="267"/>
      <c r="AF27" s="182">
        <f t="shared" si="12"/>
        <v>0.53520473550752024</v>
      </c>
      <c r="AG27" s="182">
        <f t="shared" si="13"/>
        <v>2.8608243604510305E-2</v>
      </c>
      <c r="AH27" s="149">
        <f t="shared" si="14"/>
        <v>-7.94505815396482</v>
      </c>
      <c r="AI27" s="149">
        <f t="shared" si="15"/>
        <v>10.626207424176147</v>
      </c>
      <c r="AJ27" s="149">
        <f t="shared" si="16"/>
        <v>-2.7823029652222471</v>
      </c>
      <c r="AK27" s="149">
        <f t="shared" si="17"/>
        <v>-0.69557574130556177</v>
      </c>
      <c r="AL27" s="148">
        <f t="shared" si="25"/>
        <v>0.2900607784414978</v>
      </c>
      <c r="AM27" s="68" t="s">
        <v>138</v>
      </c>
      <c r="AN27" s="73">
        <f>0.5*(MAX(AF21:AF169)-MIN(AF21:AF169))/$AN$19</f>
        <v>2.0021044699519406</v>
      </c>
    </row>
    <row r="28" spans="1:188" ht="21" customHeight="1" x14ac:dyDescent="0.35">
      <c r="A28" s="172"/>
      <c r="B28" s="159">
        <v>49</v>
      </c>
      <c r="C28" s="159">
        <v>322.60000000000002</v>
      </c>
      <c r="D28" s="159">
        <v>63.37</v>
      </c>
      <c r="E28" s="160">
        <v>2.3470000000000001E-2</v>
      </c>
      <c r="F28" s="160">
        <v>1.049E-4</v>
      </c>
      <c r="G28" s="159">
        <v>0.4471</v>
      </c>
      <c r="H28" s="159">
        <v>0.61</v>
      </c>
      <c r="I28" s="159">
        <v>193</v>
      </c>
      <c r="J28" s="220">
        <v>2.58</v>
      </c>
      <c r="K28" s="173"/>
      <c r="L28" s="174">
        <f t="shared" si="18"/>
        <v>0.91034553723648204</v>
      </c>
      <c r="M28" s="174">
        <f t="shared" si="19"/>
        <v>0.35284710745600079</v>
      </c>
      <c r="N28" s="174">
        <f t="shared" si="20"/>
        <v>7.7515438446664225E-2</v>
      </c>
      <c r="O28" s="174">
        <f t="shared" si="1"/>
        <v>98.367091388816903</v>
      </c>
      <c r="P28" s="174">
        <f t="shared" si="2"/>
        <v>6.9486010385863182</v>
      </c>
      <c r="Q28" s="175">
        <f t="shared" si="3"/>
        <v>6.9486010385863182</v>
      </c>
      <c r="R28" s="176">
        <f t="shared" si="4"/>
        <v>1.3794867193046765</v>
      </c>
      <c r="S28" s="177">
        <f t="shared" si="5"/>
        <v>89.641511134164816</v>
      </c>
      <c r="T28" s="177">
        <f t="shared" si="6"/>
        <v>17.796283513946129</v>
      </c>
      <c r="U28" s="167"/>
      <c r="V28" s="178">
        <f t="shared" si="21"/>
        <v>2.2931790868320517E-2</v>
      </c>
      <c r="W28" s="179">
        <f t="shared" si="22"/>
        <v>1.0014407372752808E-4</v>
      </c>
      <c r="X28" s="180">
        <f t="shared" si="7"/>
        <v>2.403406901802424E-2</v>
      </c>
      <c r="Y28" s="180">
        <f t="shared" si="8"/>
        <v>1.2954343691242722E-4</v>
      </c>
      <c r="Z28" s="181">
        <f t="shared" si="9"/>
        <v>1.0451510847077179</v>
      </c>
      <c r="AA28" s="181">
        <f t="shared" si="10"/>
        <v>1.2826815808749569E-2</v>
      </c>
      <c r="AB28" s="181">
        <f t="shared" si="11"/>
        <v>-4.6140414078422919E-2</v>
      </c>
      <c r="AC28" s="181">
        <f t="shared" si="23"/>
        <v>2.3469989666526622E-2</v>
      </c>
      <c r="AD28" s="181">
        <f t="shared" si="24"/>
        <v>1.2353402842156766E-4</v>
      </c>
      <c r="AE28" s="267"/>
      <c r="AF28" s="182">
        <f t="shared" si="12"/>
        <v>7.0639488679404894E-2</v>
      </c>
      <c r="AG28" s="182">
        <f t="shared" si="13"/>
        <v>6.2947224275697313E-3</v>
      </c>
      <c r="AH28" s="149">
        <f t="shared" si="14"/>
        <v>-5.5408199328390895</v>
      </c>
      <c r="AI28" s="149">
        <f t="shared" si="15"/>
        <v>5.7835687132130049</v>
      </c>
      <c r="AJ28" s="149">
        <f t="shared" si="16"/>
        <v>-0.25609964373432431</v>
      </c>
      <c r="AK28" s="149">
        <f t="shared" si="17"/>
        <v>-6.4024910933581078E-2</v>
      </c>
      <c r="AL28" s="148">
        <f t="shared" si="25"/>
        <v>0.17450446838661754</v>
      </c>
      <c r="AM28" s="68" t="s">
        <v>139</v>
      </c>
      <c r="AN28" s="73">
        <f>0.5*($AN$20-$AN$18)/$AN$19</f>
        <v>0.98215483650430691</v>
      </c>
    </row>
    <row r="29" spans="1:188" ht="21" customHeight="1" x14ac:dyDescent="0.35">
      <c r="A29" s="172"/>
      <c r="B29" s="159">
        <v>9</v>
      </c>
      <c r="C29" s="159">
        <v>64.709999999999994</v>
      </c>
      <c r="D29" s="159">
        <v>256.49</v>
      </c>
      <c r="E29" s="160">
        <v>5.2209999999999999E-2</v>
      </c>
      <c r="F29" s="160">
        <v>1.081E-4</v>
      </c>
      <c r="G29" s="159">
        <v>0.20710000000000001</v>
      </c>
      <c r="H29" s="159">
        <v>0.93</v>
      </c>
      <c r="I29" s="159">
        <v>445</v>
      </c>
      <c r="J29" s="220">
        <v>1.79</v>
      </c>
      <c r="K29" s="173"/>
      <c r="L29" s="174">
        <f t="shared" si="18"/>
        <v>1.1751624439462316</v>
      </c>
      <c r="M29" s="174">
        <f t="shared" si="19"/>
        <v>0.65651533181353727</v>
      </c>
      <c r="N29" s="174">
        <f t="shared" si="20"/>
        <v>0.32373129303577247</v>
      </c>
      <c r="O29" s="174">
        <f t="shared" si="1"/>
        <v>410.81501086239524</v>
      </c>
      <c r="P29" s="174">
        <f t="shared" si="2"/>
        <v>111.44899774304287</v>
      </c>
      <c r="Q29" s="175">
        <f t="shared" si="3"/>
        <v>111.44899774304287</v>
      </c>
      <c r="R29" s="176">
        <f t="shared" si="4"/>
        <v>20.521325484045654</v>
      </c>
      <c r="S29" s="177">
        <f t="shared" si="5"/>
        <v>344.26390077380535</v>
      </c>
      <c r="T29" s="177">
        <f t="shared" si="6"/>
        <v>63.389996350393098</v>
      </c>
      <c r="U29" s="167"/>
      <c r="V29" s="178">
        <f t="shared" si="21"/>
        <v>4.9619372558709761E-2</v>
      </c>
      <c r="W29" s="179">
        <f t="shared" si="22"/>
        <v>9.7638442731397214E-5</v>
      </c>
      <c r="X29" s="180">
        <f t="shared" si="7"/>
        <v>5.4109356992667626E-2</v>
      </c>
      <c r="Y29" s="180">
        <f t="shared" si="8"/>
        <v>2.1246484582919276E-4</v>
      </c>
      <c r="Z29" s="181">
        <f t="shared" si="9"/>
        <v>1.0477724758453744</v>
      </c>
      <c r="AA29" s="181">
        <f t="shared" si="10"/>
        <v>4.3245126021343845E-2</v>
      </c>
      <c r="AB29" s="181">
        <f t="shared" si="11"/>
        <v>-4.8890447605977792E-2</v>
      </c>
      <c r="AC29" s="181">
        <f t="shared" si="23"/>
        <v>5.1331824951292994E-2</v>
      </c>
      <c r="AD29" s="181">
        <f t="shared" si="24"/>
        <v>1.9121226485440182E-4</v>
      </c>
      <c r="AE29" s="267"/>
      <c r="AF29" s="182">
        <f t="shared" si="12"/>
        <v>0.27128754986115472</v>
      </c>
      <c r="AG29" s="182">
        <f t="shared" si="13"/>
        <v>1.3379189088537739E-2</v>
      </c>
      <c r="AH29" s="149">
        <f t="shared" si="14"/>
        <v>-6.5792224844324982</v>
      </c>
      <c r="AI29" s="149">
        <f t="shared" si="15"/>
        <v>7.6958119424046503</v>
      </c>
      <c r="AJ29" s="149">
        <f t="shared" si="16"/>
        <v>-1.167862804895909</v>
      </c>
      <c r="AK29" s="149">
        <f t="shared" si="17"/>
        <v>-0.29196570122397725</v>
      </c>
      <c r="AL29" s="148">
        <f t="shared" si="25"/>
        <v>2.6143592795132287E-2</v>
      </c>
      <c r="AM29" s="225"/>
      <c r="AN29" s="224"/>
    </row>
    <row r="30" spans="1:188" ht="21" customHeight="1" x14ac:dyDescent="0.35">
      <c r="A30" s="172"/>
      <c r="B30" s="159">
        <v>47</v>
      </c>
      <c r="C30" s="159">
        <v>304.49</v>
      </c>
      <c r="D30" s="159">
        <v>36.14</v>
      </c>
      <c r="E30" s="160">
        <v>5.3199999999999997E-2</v>
      </c>
      <c r="F30" s="160">
        <v>1.039E-4</v>
      </c>
      <c r="G30" s="159">
        <v>0.1953</v>
      </c>
      <c r="H30" s="159">
        <v>0.9</v>
      </c>
      <c r="I30" s="159">
        <v>415</v>
      </c>
      <c r="J30" s="220">
        <v>1.99</v>
      </c>
      <c r="K30" s="173"/>
      <c r="L30" s="174">
        <f t="shared" si="18"/>
        <v>1.1884728810672209</v>
      </c>
      <c r="M30" s="174">
        <f t="shared" si="19"/>
        <v>0.59722255330011098</v>
      </c>
      <c r="N30" s="174">
        <f t="shared" si="20"/>
        <v>0.27716195440447877</v>
      </c>
      <c r="O30" s="174">
        <f t="shared" si="1"/>
        <v>351.71852013928356</v>
      </c>
      <c r="P30" s="174">
        <f t="shared" si="2"/>
        <v>98.239632324288422</v>
      </c>
      <c r="Q30" s="175">
        <f t="shared" si="3"/>
        <v>98.239632324288422</v>
      </c>
      <c r="R30" s="176">
        <f t="shared" si="4"/>
        <v>18.087297336167619</v>
      </c>
      <c r="S30" s="177">
        <f t="shared" si="5"/>
        <v>354.44847592942551</v>
      </c>
      <c r="T30" s="177">
        <f t="shared" si="6"/>
        <v>65.258947156115653</v>
      </c>
      <c r="U30" s="167"/>
      <c r="V30" s="178">
        <f t="shared" si="21"/>
        <v>5.0512723129510065E-2</v>
      </c>
      <c r="W30" s="179">
        <f t="shared" si="22"/>
        <v>9.3668560640755715E-5</v>
      </c>
      <c r="X30" s="180">
        <f t="shared" si="7"/>
        <v>5.5146696527462978E-2</v>
      </c>
      <c r="Y30" s="180">
        <f t="shared" si="8"/>
        <v>2.1374784307074882E-4</v>
      </c>
      <c r="Z30" s="181">
        <f t="shared" si="9"/>
        <v>1.0478629499366174</v>
      </c>
      <c r="AA30" s="181">
        <f t="shared" si="10"/>
        <v>4.4324880237157013E-2</v>
      </c>
      <c r="AB30" s="181">
        <f t="shared" si="11"/>
        <v>-4.8986720252483983E-2</v>
      </c>
      <c r="AC30" s="181">
        <f t="shared" si="23"/>
        <v>5.2264482947208507E-2</v>
      </c>
      <c r="AD30" s="181">
        <f t="shared" si="24"/>
        <v>1.9198887058857647E-4</v>
      </c>
      <c r="AE30" s="267"/>
      <c r="AF30" s="182">
        <f t="shared" si="12"/>
        <v>0.27931321980254176</v>
      </c>
      <c r="AG30" s="182">
        <f t="shared" si="13"/>
        <v>1.3756283987078824E-2</v>
      </c>
      <c r="AH30" s="149">
        <f t="shared" si="14"/>
        <v>-6.6207572797168339</v>
      </c>
      <c r="AI30" s="149">
        <f t="shared" si="15"/>
        <v>7.7779703643369213</v>
      </c>
      <c r="AJ30" s="149">
        <f t="shared" si="16"/>
        <v>-1.2100032831627672</v>
      </c>
      <c r="AK30" s="149">
        <f t="shared" si="17"/>
        <v>-0.30250082079069179</v>
      </c>
      <c r="AL30" s="148">
        <f t="shared" si="25"/>
        <v>3.4169262736519324E-2</v>
      </c>
      <c r="AM30" s="68" t="s">
        <v>137</v>
      </c>
      <c r="AN30" s="73">
        <f>MEDIAN(AL21:AL494)/$AN$19</f>
        <v>0.92134158155481893</v>
      </c>
    </row>
    <row r="31" spans="1:188" ht="21" customHeight="1" x14ac:dyDescent="0.35">
      <c r="A31" s="172"/>
      <c r="B31" s="159">
        <v>46</v>
      </c>
      <c r="C31" s="159">
        <v>303.19</v>
      </c>
      <c r="D31" s="159">
        <v>119.93</v>
      </c>
      <c r="E31" s="160">
        <v>5.0380000000000001E-2</v>
      </c>
      <c r="F31" s="160">
        <v>1.0349999999999999E-4</v>
      </c>
      <c r="G31" s="159">
        <v>0.2054</v>
      </c>
      <c r="H31" s="159">
        <v>0.92</v>
      </c>
      <c r="I31" s="159">
        <v>438</v>
      </c>
      <c r="J31" s="220">
        <v>1.83</v>
      </c>
      <c r="K31" s="173"/>
      <c r="L31" s="174">
        <f t="shared" si="18"/>
        <v>1.1770865229576146</v>
      </c>
      <c r="M31" s="174">
        <f t="shared" si="19"/>
        <v>0.64321667921181125</v>
      </c>
      <c r="N31" s="174">
        <f t="shared" si="20"/>
        <v>0.31281448879267565</v>
      </c>
      <c r="O31" s="174">
        <f t="shared" si="1"/>
        <v>396.96158627790538</v>
      </c>
      <c r="P31" s="174">
        <f t="shared" si="2"/>
        <v>101.89035704889014</v>
      </c>
      <c r="Q31" s="175">
        <f t="shared" si="3"/>
        <v>101.89035704889014</v>
      </c>
      <c r="R31" s="176">
        <f t="shared" si="4"/>
        <v>18.765863295269725</v>
      </c>
      <c r="S31" s="177">
        <f t="shared" si="5"/>
        <v>325.72134827303387</v>
      </c>
      <c r="T31" s="177">
        <f t="shared" si="6"/>
        <v>59.990390367458943</v>
      </c>
      <c r="U31" s="167"/>
      <c r="V31" s="178">
        <f t="shared" si="21"/>
        <v>4.7963594127839446E-2</v>
      </c>
      <c r="W31" s="179">
        <f t="shared" si="22"/>
        <v>9.3809638423969028E-5</v>
      </c>
      <c r="X31" s="180">
        <f t="shared" si="7"/>
        <v>5.2192086364339189E-2</v>
      </c>
      <c r="Y31" s="180">
        <f t="shared" si="8"/>
        <v>2.0337343714508225E-4</v>
      </c>
      <c r="Z31" s="181">
        <f t="shared" si="9"/>
        <v>1.0476052667042641</v>
      </c>
      <c r="AA31" s="181">
        <f t="shared" si="10"/>
        <v>4.12548301213592E-2</v>
      </c>
      <c r="AB31" s="181">
        <f t="shared" si="11"/>
        <v>-4.8712760210740606E-2</v>
      </c>
      <c r="AC31" s="181">
        <f t="shared" si="23"/>
        <v>4.9603192269464379E-2</v>
      </c>
      <c r="AD31" s="181">
        <f t="shared" si="24"/>
        <v>1.8369788933476593E-4</v>
      </c>
      <c r="AE31" s="267"/>
      <c r="AF31" s="182">
        <f t="shared" si="12"/>
        <v>0.25667560935621264</v>
      </c>
      <c r="AG31" s="182">
        <f t="shared" si="13"/>
        <v>1.2701663260645573E-2</v>
      </c>
      <c r="AH31" s="149">
        <f t="shared" si="14"/>
        <v>-6.5036021359741163</v>
      </c>
      <c r="AI31" s="149">
        <f t="shared" si="15"/>
        <v>7.547350264792783</v>
      </c>
      <c r="AJ31" s="149">
        <f t="shared" si="16"/>
        <v>-1.0922598189869903</v>
      </c>
      <c r="AK31" s="149">
        <f t="shared" si="17"/>
        <v>-0.27306495474674758</v>
      </c>
      <c r="AL31" s="148">
        <f t="shared" si="25"/>
        <v>1.1531652290190209E-2</v>
      </c>
      <c r="AM31" s="68" t="s">
        <v>96</v>
      </c>
      <c r="AN31" s="73">
        <f>MEDIAN(AL21:AL494)/$AN$19/0.67449</f>
        <v>1.3659825669095449</v>
      </c>
      <c r="AO31" s="230" t="s">
        <v>145</v>
      </c>
    </row>
    <row r="32" spans="1:188" ht="21" customHeight="1" x14ac:dyDescent="0.35">
      <c r="A32" s="172"/>
      <c r="B32" s="159">
        <v>45</v>
      </c>
      <c r="C32" s="159">
        <v>282.32</v>
      </c>
      <c r="D32" s="159">
        <v>73.27</v>
      </c>
      <c r="E32" s="160">
        <v>0.10100000000000001</v>
      </c>
      <c r="F32" s="160">
        <v>1.3439999999999999E-4</v>
      </c>
      <c r="G32" s="159">
        <v>0.1331</v>
      </c>
      <c r="H32" s="159">
        <v>1.02</v>
      </c>
      <c r="I32" s="159">
        <v>530</v>
      </c>
      <c r="J32" s="220">
        <v>2.19</v>
      </c>
      <c r="K32" s="173"/>
      <c r="L32" s="174">
        <f t="shared" si="18"/>
        <v>1.401247211984042</v>
      </c>
      <c r="M32" s="174">
        <f t="shared" si="19"/>
        <v>0.63983890958175427</v>
      </c>
      <c r="N32" s="174">
        <f t="shared" si="20"/>
        <v>0.38197572318441358</v>
      </c>
      <c r="O32" s="174">
        <f t="shared" si="1"/>
        <v>484.72719272102086</v>
      </c>
      <c r="P32" s="174">
        <f t="shared" si="2"/>
        <v>390.28443047282252</v>
      </c>
      <c r="Q32" s="175">
        <f t="shared" si="3"/>
        <v>390.28443047282252</v>
      </c>
      <c r="R32" s="176">
        <f t="shared" si="4"/>
        <v>73.260160276632178</v>
      </c>
      <c r="S32" s="177">
        <f t="shared" si="5"/>
        <v>1021.7519250153957</v>
      </c>
      <c r="T32" s="177">
        <f t="shared" si="6"/>
        <v>191.79271307057121</v>
      </c>
      <c r="U32" s="167"/>
      <c r="V32" s="178">
        <f t="shared" si="21"/>
        <v>9.1734786557674849E-2</v>
      </c>
      <c r="W32" s="179">
        <f t="shared" si="22"/>
        <v>1.1087270180440373E-4</v>
      </c>
      <c r="X32" s="180">
        <f t="shared" si="7"/>
        <v>0.10533917384352752</v>
      </c>
      <c r="Y32" s="180">
        <f t="shared" si="8"/>
        <v>4.2394085883690338E-4</v>
      </c>
      <c r="Z32" s="181">
        <f t="shared" si="9"/>
        <v>1.0522452757911833</v>
      </c>
      <c r="AA32" s="181">
        <f t="shared" si="10"/>
        <v>9.9006251163573117E-2</v>
      </c>
      <c r="AB32" s="181">
        <f t="shared" si="11"/>
        <v>-5.3758086326256047E-2</v>
      </c>
      <c r="AC32" s="181">
        <f t="shared" si="23"/>
        <v>9.5300317166212553E-2</v>
      </c>
      <c r="AD32" s="181">
        <f t="shared" si="24"/>
        <v>3.469877568858552E-4</v>
      </c>
      <c r="AE32" s="267"/>
      <c r="AF32" s="182">
        <f t="shared" si="12"/>
        <v>0.80516306147785321</v>
      </c>
      <c r="AG32" s="182">
        <f t="shared" si="13"/>
        <v>4.9388292620604408E-2</v>
      </c>
      <c r="AH32" s="149">
        <f t="shared" si="14"/>
        <v>-9.3421581950041208</v>
      </c>
      <c r="AI32" s="149">
        <f t="shared" si="15"/>
        <v>14.111719915589017</v>
      </c>
      <c r="AJ32" s="149">
        <f t="shared" si="16"/>
        <v>-4.9217375392042069</v>
      </c>
      <c r="AK32" s="149">
        <f t="shared" si="17"/>
        <v>-1.2304343848010517</v>
      </c>
      <c r="AL32" s="148">
        <f t="shared" si="25"/>
        <v>0.56001910441183078</v>
      </c>
      <c r="AM32" s="68" t="s">
        <v>95</v>
      </c>
      <c r="AN32" s="74">
        <f>$AG$14/$AF$14</f>
        <v>0.97282143734417303</v>
      </c>
    </row>
    <row r="33" spans="1:51" ht="21" customHeight="1" x14ac:dyDescent="0.35">
      <c r="A33" s="172"/>
      <c r="B33" s="159">
        <v>44</v>
      </c>
      <c r="C33" s="159">
        <v>279.58999999999997</v>
      </c>
      <c r="D33" s="159">
        <v>5.46</v>
      </c>
      <c r="E33" s="160">
        <v>7.0290000000000005E-2</v>
      </c>
      <c r="F33" s="160">
        <v>1.8589999999999999E-4</v>
      </c>
      <c r="G33" s="159">
        <v>0.26440000000000002</v>
      </c>
      <c r="H33" s="159">
        <v>0.59</v>
      </c>
      <c r="I33" s="159">
        <v>177</v>
      </c>
      <c r="J33" s="220">
        <v>1.6</v>
      </c>
      <c r="K33" s="173"/>
      <c r="L33" s="174">
        <f t="shared" si="18"/>
        <v>0.70644661212590487</v>
      </c>
      <c r="M33" s="174">
        <f t="shared" si="19"/>
        <v>0.44152913257869053</v>
      </c>
      <c r="N33" s="174">
        <f t="shared" si="20"/>
        <v>8.5630861935338476E-2</v>
      </c>
      <c r="O33" s="174">
        <f t="shared" si="1"/>
        <v>108.66556379594452</v>
      </c>
      <c r="P33" s="174">
        <f t="shared" si="2"/>
        <v>47.033033665143854</v>
      </c>
      <c r="Q33" s="175">
        <f t="shared" si="3"/>
        <v>47.033033665143854</v>
      </c>
      <c r="R33" s="176">
        <f t="shared" si="4"/>
        <v>8.6827660658526629</v>
      </c>
      <c r="S33" s="177">
        <f t="shared" si="5"/>
        <v>549.25330193055174</v>
      </c>
      <c r="T33" s="177">
        <f t="shared" si="6"/>
        <v>101.39762545435066</v>
      </c>
      <c r="U33" s="167"/>
      <c r="V33" s="178">
        <f t="shared" si="21"/>
        <v>6.5673789346812547E-2</v>
      </c>
      <c r="W33" s="179">
        <f t="shared" si="22"/>
        <v>1.6228428048512791E-4</v>
      </c>
      <c r="X33" s="180">
        <f t="shared" si="7"/>
        <v>7.3068030916189741E-2</v>
      </c>
      <c r="Y33" s="180">
        <f t="shared" si="8"/>
        <v>3.2363339055036953E-4</v>
      </c>
      <c r="Z33" s="181">
        <f t="shared" si="9"/>
        <v>1.0494266193662878</v>
      </c>
      <c r="AA33" s="181">
        <f t="shared" si="10"/>
        <v>6.3300944031737041E-2</v>
      </c>
      <c r="AB33" s="181">
        <f t="shared" si="11"/>
        <v>-5.0664899954871341E-2</v>
      </c>
      <c r="AC33" s="181">
        <f t="shared" si="23"/>
        <v>6.8092636078072297E-2</v>
      </c>
      <c r="AD33" s="181">
        <f t="shared" si="24"/>
        <v>2.8105985005201061E-4</v>
      </c>
      <c r="AE33" s="267"/>
      <c r="AF33" s="182">
        <f t="shared" si="12"/>
        <v>0.4328237209854624</v>
      </c>
      <c r="AG33" s="182">
        <f t="shared" si="13"/>
        <v>2.2105593973468202E-2</v>
      </c>
      <c r="AH33" s="149">
        <f t="shared" si="14"/>
        <v>-7.4152114856826516</v>
      </c>
      <c r="AI33" s="149">
        <f t="shared" si="15"/>
        <v>9.4334208206027732</v>
      </c>
      <c r="AJ33" s="149">
        <f t="shared" si="16"/>
        <v>-2.1000130181863748</v>
      </c>
      <c r="AK33" s="149">
        <f t="shared" si="17"/>
        <v>-0.52500325454659369</v>
      </c>
      <c r="AL33" s="148">
        <f t="shared" si="25"/>
        <v>0.18767976391943997</v>
      </c>
      <c r="AM33" s="68" t="s">
        <v>140</v>
      </c>
      <c r="AN33" s="74">
        <f>0.5*($AN$22-$AN$21)/$AN$19</f>
        <v>1.0562457289455438</v>
      </c>
    </row>
    <row r="34" spans="1:51" ht="21" customHeight="1" x14ac:dyDescent="0.35">
      <c r="A34" s="172"/>
      <c r="B34" s="159">
        <v>14</v>
      </c>
      <c r="C34" s="159">
        <v>118.59</v>
      </c>
      <c r="D34" s="159">
        <v>491.77</v>
      </c>
      <c r="E34" s="160">
        <v>2.265E-2</v>
      </c>
      <c r="F34" s="160">
        <v>1.138E-4</v>
      </c>
      <c r="G34" s="159">
        <v>0.50239999999999996</v>
      </c>
      <c r="H34" s="159">
        <v>0.64</v>
      </c>
      <c r="I34" s="159">
        <v>208</v>
      </c>
      <c r="J34" s="220">
        <v>2.69</v>
      </c>
      <c r="K34" s="173"/>
      <c r="L34" s="174">
        <f t="shared" si="18"/>
        <v>0.96321103623119131</v>
      </c>
      <c r="M34" s="174">
        <f t="shared" si="19"/>
        <v>0.35807101718631651</v>
      </c>
      <c r="N34" s="174">
        <f t="shared" si="20"/>
        <v>8.4975856441218869E-2</v>
      </c>
      <c r="O34" s="174">
        <f t="shared" si="1"/>
        <v>107.83436182390675</v>
      </c>
      <c r="P34" s="174">
        <f t="shared" si="2"/>
        <v>7.084904766790598</v>
      </c>
      <c r="Q34" s="175">
        <f t="shared" si="3"/>
        <v>7.084904766790598</v>
      </c>
      <c r="R34" s="176">
        <f t="shared" si="4"/>
        <v>1.423804258539433</v>
      </c>
      <c r="S34" s="177">
        <f t="shared" si="5"/>
        <v>83.375502919367506</v>
      </c>
      <c r="T34" s="177">
        <f t="shared" si="6"/>
        <v>16.755397570183174</v>
      </c>
      <c r="U34" s="167"/>
      <c r="V34" s="178">
        <f t="shared" si="21"/>
        <v>2.2148340096807315E-2</v>
      </c>
      <c r="W34" s="179">
        <f t="shared" si="22"/>
        <v>1.0881486226664382E-4</v>
      </c>
      <c r="X34" s="180">
        <f t="shared" si="7"/>
        <v>2.3177075734893058E-2</v>
      </c>
      <c r="Y34" s="180">
        <f t="shared" si="8"/>
        <v>1.3625124326810712E-4</v>
      </c>
      <c r="Z34" s="181">
        <f t="shared" si="9"/>
        <v>1.0450764364573792</v>
      </c>
      <c r="AA34" s="181">
        <f t="shared" si="10"/>
        <v>1.1985167970884456E-2</v>
      </c>
      <c r="AB34" s="181">
        <f t="shared" si="11"/>
        <v>-4.606321844561391E-2</v>
      </c>
      <c r="AC34" s="181">
        <f t="shared" si="23"/>
        <v>2.2652067061066837E-2</v>
      </c>
      <c r="AD34" s="181">
        <f t="shared" si="24"/>
        <v>1.3014841138108871E-4</v>
      </c>
      <c r="AE34" s="267"/>
      <c r="AF34" s="182">
        <f t="shared" si="12"/>
        <v>6.5701735949068168E-2</v>
      </c>
      <c r="AG34" s="182">
        <f t="shared" si="13"/>
        <v>6.2030833289068305E-3</v>
      </c>
      <c r="AH34" s="149">
        <f t="shared" si="14"/>
        <v>-5.5152658606785092</v>
      </c>
      <c r="AI34" s="149">
        <f t="shared" si="15"/>
        <v>5.7399477595455393</v>
      </c>
      <c r="AJ34" s="149">
        <f t="shared" si="16"/>
        <v>-0.23709952696140271</v>
      </c>
      <c r="AK34" s="149">
        <f t="shared" si="17"/>
        <v>-5.9274881740350678E-2</v>
      </c>
      <c r="AL34" s="148">
        <f t="shared" si="25"/>
        <v>0.17944222111695426</v>
      </c>
      <c r="AM34" s="68" t="s">
        <v>141</v>
      </c>
      <c r="AN34" s="74">
        <f>0.5*($AN$37-$AN$36)/$AN$19</f>
        <v>0.87690576143126941</v>
      </c>
    </row>
    <row r="35" spans="1:51" ht="21" customHeight="1" x14ac:dyDescent="0.3">
      <c r="A35" s="172"/>
      <c r="B35" s="159">
        <v>15</v>
      </c>
      <c r="C35" s="159">
        <v>120.75</v>
      </c>
      <c r="D35" s="159">
        <v>158.76</v>
      </c>
      <c r="E35" s="160">
        <v>1.3639999999999999E-2</v>
      </c>
      <c r="F35" s="160">
        <v>7.7750000000000006E-5</v>
      </c>
      <c r="G35" s="159">
        <v>0.57010000000000005</v>
      </c>
      <c r="H35" s="159">
        <v>0.68</v>
      </c>
      <c r="I35" s="159">
        <v>238</v>
      </c>
      <c r="J35" s="220">
        <v>1.9</v>
      </c>
      <c r="K35" s="173"/>
      <c r="L35" s="174">
        <f t="shared" si="18"/>
        <v>0.88196399500483569</v>
      </c>
      <c r="M35" s="174">
        <f t="shared" si="19"/>
        <v>0.46419157631833458</v>
      </c>
      <c r="N35" s="174">
        <f t="shared" si="20"/>
        <v>0.12307171421242184</v>
      </c>
      <c r="O35" s="174">
        <f t="shared" si="1"/>
        <v>156.17800533556331</v>
      </c>
      <c r="P35" s="174">
        <f t="shared" si="2"/>
        <v>2.159538059932451</v>
      </c>
      <c r="Q35" s="175">
        <f t="shared" si="3"/>
        <v>2.159538059932451</v>
      </c>
      <c r="R35" s="176">
        <f t="shared" si="4"/>
        <v>0.93570957860549087</v>
      </c>
      <c r="S35" s="177">
        <f t="shared" si="5"/>
        <v>17.546989361057307</v>
      </c>
      <c r="T35" s="177">
        <f t="shared" si="6"/>
        <v>7.6029620989145865</v>
      </c>
      <c r="U35" s="167"/>
      <c r="V35" s="178">
        <f t="shared" si="21"/>
        <v>1.3456453967878141E-2</v>
      </c>
      <c r="W35" s="179">
        <f t="shared" si="22"/>
        <v>7.5671600078920989E-5</v>
      </c>
      <c r="X35" s="180">
        <f t="shared" si="7"/>
        <v>1.3764630488107161E-2</v>
      </c>
      <c r="Y35" s="180">
        <f t="shared" si="8"/>
        <v>9.3622583443512273E-5</v>
      </c>
      <c r="Z35" s="181">
        <f t="shared" si="9"/>
        <v>1.0442567424895972</v>
      </c>
      <c r="AA35" s="181">
        <f t="shared" si="10"/>
        <v>2.8328593602244484E-3</v>
      </c>
      <c r="AB35" s="181">
        <f t="shared" si="11"/>
        <v>-4.5219623945262299E-2</v>
      </c>
      <c r="AC35" s="181">
        <f t="shared" si="23"/>
        <v>1.3577737942464781E-2</v>
      </c>
      <c r="AD35" s="181">
        <f t="shared" si="24"/>
        <v>9.1097477424867732E-5</v>
      </c>
      <c r="AE35" s="267"/>
      <c r="AF35" s="182">
        <f t="shared" si="12"/>
        <v>1.3827414784127112E-2</v>
      </c>
      <c r="AG35" s="182">
        <f t="shared" si="13"/>
        <v>5.4661009904158351E-3</v>
      </c>
      <c r="AH35" s="149">
        <f t="shared" si="14"/>
        <v>-5.2468036231537836</v>
      </c>
      <c r="AI35" s="149">
        <f t="shared" si="15"/>
        <v>5.2916606745510819</v>
      </c>
      <c r="AJ35" s="149">
        <f t="shared" si="16"/>
        <v>-4.7470432791498526E-2</v>
      </c>
      <c r="AK35" s="149">
        <f t="shared" si="17"/>
        <v>-1.1867608197874632E-2</v>
      </c>
      <c r="AL35" s="148">
        <f t="shared" si="25"/>
        <v>0.23131654228189533</v>
      </c>
      <c r="AM35" s="72"/>
      <c r="AN35" s="39"/>
    </row>
    <row r="36" spans="1:51" ht="21" customHeight="1" x14ac:dyDescent="0.35">
      <c r="A36" s="172"/>
      <c r="B36" s="159">
        <v>39</v>
      </c>
      <c r="C36" s="159">
        <v>247.46</v>
      </c>
      <c r="D36" s="159">
        <v>93.76</v>
      </c>
      <c r="E36" s="160">
        <v>5.9740000000000001E-2</v>
      </c>
      <c r="F36" s="160">
        <v>9.3519999999999999E-5</v>
      </c>
      <c r="G36" s="159">
        <v>0.1565</v>
      </c>
      <c r="H36" s="159">
        <v>1.06</v>
      </c>
      <c r="I36" s="159">
        <v>582</v>
      </c>
      <c r="J36" s="220">
        <v>2.0099999999999998</v>
      </c>
      <c r="K36" s="173"/>
      <c r="L36" s="174">
        <f t="shared" si="18"/>
        <v>1.4136346968594606</v>
      </c>
      <c r="M36" s="174">
        <f t="shared" si="19"/>
        <v>0.70330084420868699</v>
      </c>
      <c r="N36" s="174">
        <f t="shared" si="20"/>
        <v>0.45809972162033458</v>
      </c>
      <c r="O36" s="174">
        <f t="shared" si="1"/>
        <v>581.32854673620454</v>
      </c>
      <c r="P36" s="174">
        <f t="shared" si="2"/>
        <v>194.49809629162442</v>
      </c>
      <c r="Q36" s="175">
        <f t="shared" si="3"/>
        <v>194.49809629162442</v>
      </c>
      <c r="R36" s="176">
        <f t="shared" si="4"/>
        <v>35.815914555167673</v>
      </c>
      <c r="S36" s="177">
        <f t="shared" si="5"/>
        <v>424.57588841938048</v>
      </c>
      <c r="T36" s="177">
        <f t="shared" si="6"/>
        <v>78.183663654027086</v>
      </c>
      <c r="U36" s="167"/>
      <c r="V36" s="178">
        <f t="shared" si="21"/>
        <v>5.637231773831318E-2</v>
      </c>
      <c r="W36" s="179">
        <f t="shared" si="22"/>
        <v>8.3273313119362253E-5</v>
      </c>
      <c r="X36" s="180">
        <f t="shared" si="7"/>
        <v>6.2001675309091883E-2</v>
      </c>
      <c r="Y36" s="180">
        <f t="shared" si="8"/>
        <v>2.3352020539510042E-4</v>
      </c>
      <c r="Z36" s="181">
        <f t="shared" si="9"/>
        <v>1.0484609217793295</v>
      </c>
      <c r="AA36" s="181">
        <f t="shared" si="10"/>
        <v>5.1511412045767466E-2</v>
      </c>
      <c r="AB36" s="181">
        <f t="shared" si="11"/>
        <v>-4.9625292567809967E-2</v>
      </c>
      <c r="AC36" s="181">
        <f t="shared" si="23"/>
        <v>5.8381899718798945E-2</v>
      </c>
      <c r="AD36" s="181">
        <f t="shared" si="24"/>
        <v>2.0704944002787284E-4</v>
      </c>
      <c r="AE36" s="267"/>
      <c r="AF36" s="182">
        <f t="shared" si="12"/>
        <v>0.33457516817918082</v>
      </c>
      <c r="AG36" s="182">
        <f t="shared" si="13"/>
        <v>1.6517017066112378E-2</v>
      </c>
      <c r="AH36" s="149">
        <f t="shared" si="14"/>
        <v>-6.9067513125639577</v>
      </c>
      <c r="AI36" s="149">
        <f t="shared" si="15"/>
        <v>8.3555274801613564</v>
      </c>
      <c r="AJ36" s="149">
        <f t="shared" si="16"/>
        <v>-1.5120108743832645</v>
      </c>
      <c r="AK36" s="149">
        <f t="shared" si="17"/>
        <v>-0.37800271859581613</v>
      </c>
      <c r="AL36" s="148">
        <f t="shared" si="25"/>
        <v>8.9431211113158382E-2</v>
      </c>
      <c r="AM36" s="71" t="s">
        <v>89</v>
      </c>
      <c r="AN36" s="75">
        <f>_xlfn.PERCENTILE.EXC(AF21:AF494,0.25)</f>
        <v>1.3247488740502897E-2</v>
      </c>
    </row>
    <row r="37" spans="1:51" ht="21" customHeight="1" x14ac:dyDescent="0.35">
      <c r="A37" s="172"/>
      <c r="B37" s="159">
        <v>17</v>
      </c>
      <c r="C37" s="159">
        <v>146.01</v>
      </c>
      <c r="D37" s="159">
        <v>185.11</v>
      </c>
      <c r="E37" s="160">
        <v>0.11</v>
      </c>
      <c r="F37" s="160">
        <v>1.4339999999999999E-4</v>
      </c>
      <c r="G37" s="159">
        <v>0.1305</v>
      </c>
      <c r="H37" s="159">
        <v>0.99</v>
      </c>
      <c r="I37" s="159">
        <v>506</v>
      </c>
      <c r="J37" s="220">
        <v>1.92</v>
      </c>
      <c r="K37" s="173"/>
      <c r="L37" s="174">
        <f t="shared" si="18"/>
        <v>1.2918843177442974</v>
      </c>
      <c r="M37" s="174">
        <f t="shared" si="19"/>
        <v>0.67285641549182151</v>
      </c>
      <c r="N37" s="174">
        <f t="shared" si="20"/>
        <v>0.37961448218262162</v>
      </c>
      <c r="O37" s="174">
        <f t="shared" si="1"/>
        <v>481.73077788974683</v>
      </c>
      <c r="P37" s="174">
        <f t="shared" si="2"/>
        <v>456.78956946195302</v>
      </c>
      <c r="Q37" s="175">
        <f t="shared" si="3"/>
        <v>456.78956946195302</v>
      </c>
      <c r="R37" s="176">
        <f t="shared" si="4"/>
        <v>86.437629627934598</v>
      </c>
      <c r="S37" s="177">
        <f t="shared" si="5"/>
        <v>1203.2985855429106</v>
      </c>
      <c r="T37" s="177">
        <f t="shared" si="6"/>
        <v>227.69845115221909</v>
      </c>
      <c r="U37" s="167"/>
      <c r="V37" s="178">
        <f t="shared" si="21"/>
        <v>9.9099099099099086E-2</v>
      </c>
      <c r="W37" s="179">
        <f t="shared" si="22"/>
        <v>1.1638665692719743E-4</v>
      </c>
      <c r="X37" s="180">
        <f t="shared" si="7"/>
        <v>0.1148131074880261</v>
      </c>
      <c r="Y37" s="180">
        <f t="shared" si="8"/>
        <v>4.6788145428664635E-4</v>
      </c>
      <c r="Z37" s="181">
        <f t="shared" si="9"/>
        <v>1.0530734747753447</v>
      </c>
      <c r="AA37" s="181">
        <f t="shared" si="10"/>
        <v>0.10986313094595122</v>
      </c>
      <c r="AB37" s="181">
        <f t="shared" si="11"/>
        <v>-5.4683563643592815E-2</v>
      </c>
      <c r="AC37" s="181">
        <f t="shared" si="23"/>
        <v>0.10298865945945947</v>
      </c>
      <c r="AD37" s="181">
        <f t="shared" si="24"/>
        <v>3.7647114812760677E-4</v>
      </c>
      <c r="AE37" s="267"/>
      <c r="AF37" s="182">
        <f t="shared" si="12"/>
        <v>0.948225835731214</v>
      </c>
      <c r="AG37" s="182">
        <f t="shared" si="13"/>
        <v>6.2432300017016808E-2</v>
      </c>
      <c r="AH37" s="149">
        <f t="shared" si="14"/>
        <v>-10.082542871276457</v>
      </c>
      <c r="AI37" s="149">
        <f t="shared" si="15"/>
        <v>16.158932239216377</v>
      </c>
      <c r="AJ37" s="149">
        <f t="shared" si="16"/>
        <v>-6.2556040508931137</v>
      </c>
      <c r="AK37" s="149">
        <f t="shared" si="17"/>
        <v>-1.5639010127232784</v>
      </c>
      <c r="AL37" s="148">
        <f t="shared" si="25"/>
        <v>0.70308187866519156</v>
      </c>
      <c r="AM37" s="69" t="s">
        <v>90</v>
      </c>
      <c r="AN37" s="76">
        <f>_xlfn.PERCENTILE.EXC(AF21:AF494,0.75)</f>
        <v>0.44318378540301256</v>
      </c>
    </row>
    <row r="38" spans="1:51" ht="21" customHeight="1" x14ac:dyDescent="0.35">
      <c r="A38" s="172"/>
      <c r="B38" s="159">
        <v>18</v>
      </c>
      <c r="C38" s="159">
        <v>150.94</v>
      </c>
      <c r="D38" s="159">
        <v>349.47</v>
      </c>
      <c r="E38" s="160">
        <v>1.453E-2</v>
      </c>
      <c r="F38" s="160">
        <v>1.2569999999999999E-4</v>
      </c>
      <c r="G38" s="159">
        <v>0.86539999999999995</v>
      </c>
      <c r="H38" s="159">
        <v>0.45</v>
      </c>
      <c r="I38" s="159">
        <v>104</v>
      </c>
      <c r="J38" s="220">
        <v>1.85</v>
      </c>
      <c r="K38" s="173"/>
      <c r="L38" s="174">
        <f t="shared" si="18"/>
        <v>0.57628415649586107</v>
      </c>
      <c r="M38" s="174">
        <f t="shared" si="19"/>
        <v>0.31150494945722218</v>
      </c>
      <c r="N38" s="174">
        <f t="shared" si="20"/>
        <v>3.6006000052322414E-2</v>
      </c>
      <c r="O38" s="174">
        <f t="shared" si="1"/>
        <v>45.691614066397143</v>
      </c>
      <c r="P38" s="174">
        <f t="shared" si="2"/>
        <v>0.85740497024304496</v>
      </c>
      <c r="Q38" s="175">
        <f t="shared" si="3"/>
        <v>0.85740497024304496</v>
      </c>
      <c r="R38" s="176">
        <f t="shared" si="4"/>
        <v>0.29520462814819648</v>
      </c>
      <c r="S38" s="177">
        <f t="shared" si="5"/>
        <v>23.812835888382487</v>
      </c>
      <c r="T38" s="177">
        <f t="shared" si="6"/>
        <v>8.1987620874081397</v>
      </c>
      <c r="U38" s="167"/>
      <c r="V38" s="178">
        <f t="shared" si="21"/>
        <v>1.4321902752998926E-2</v>
      </c>
      <c r="W38" s="179">
        <f t="shared" si="22"/>
        <v>1.2212525684203329E-4</v>
      </c>
      <c r="X38" s="180">
        <f t="shared" si="7"/>
        <v>1.4694055000173931E-2</v>
      </c>
      <c r="Y38" s="180">
        <f t="shared" si="8"/>
        <v>1.396692176837127E-4</v>
      </c>
      <c r="Z38" s="181">
        <f t="shared" si="9"/>
        <v>1.0443376682170105</v>
      </c>
      <c r="AA38" s="181">
        <f t="shared" si="10"/>
        <v>3.7291256535615142E-3</v>
      </c>
      <c r="AB38" s="181">
        <f t="shared" si="11"/>
        <v>-4.5302577111118611E-2</v>
      </c>
      <c r="AC38" s="181">
        <f t="shared" si="23"/>
        <v>1.4481266474130877E-2</v>
      </c>
      <c r="AD38" s="181">
        <f t="shared" si="24"/>
        <v>1.3565333298831423E-4</v>
      </c>
      <c r="AE38" s="267"/>
      <c r="AF38" s="182">
        <f t="shared" si="12"/>
        <v>1.8765040101168234E-2</v>
      </c>
      <c r="AG38" s="182">
        <f t="shared" si="13"/>
        <v>5.5371236676738387E-3</v>
      </c>
      <c r="AH38" s="149">
        <f t="shared" si="14"/>
        <v>-5.2723570359195477</v>
      </c>
      <c r="AI38" s="149">
        <f t="shared" si="15"/>
        <v>5.333545823086177</v>
      </c>
      <c r="AJ38" s="149">
        <f t="shared" si="16"/>
        <v>-6.4735379745749611E-2</v>
      </c>
      <c r="AK38" s="149">
        <f t="shared" si="17"/>
        <v>-1.6183844936437403E-2</v>
      </c>
      <c r="AL38" s="148">
        <f t="shared" si="25"/>
        <v>0.22637891696485421</v>
      </c>
      <c r="AM38" s="71" t="s">
        <v>91</v>
      </c>
      <c r="AN38" s="75">
        <f>($AN$37-$AN$36)/($AN$37+$AN$36)</f>
        <v>0.94195187976388528</v>
      </c>
    </row>
    <row r="39" spans="1:51" ht="21" customHeight="1" x14ac:dyDescent="0.3">
      <c r="A39" s="172"/>
      <c r="B39" s="159">
        <v>19</v>
      </c>
      <c r="C39" s="159">
        <v>154.69</v>
      </c>
      <c r="D39" s="159">
        <v>313.82</v>
      </c>
      <c r="E39" s="160">
        <v>5.323E-2</v>
      </c>
      <c r="F39" s="160">
        <v>1.0730000000000001E-4</v>
      </c>
      <c r="G39" s="159">
        <v>0.2016</v>
      </c>
      <c r="H39" s="159">
        <v>0.91</v>
      </c>
      <c r="I39" s="159">
        <v>424</v>
      </c>
      <c r="J39" s="220">
        <v>1.85</v>
      </c>
      <c r="K39" s="173"/>
      <c r="L39" s="174">
        <f t="shared" si="18"/>
        <v>1.1635979261455112</v>
      </c>
      <c r="M39" s="174">
        <f t="shared" si="19"/>
        <v>0.62897185197054661</v>
      </c>
      <c r="N39" s="174">
        <f t="shared" si="20"/>
        <v>0.29639689771674665</v>
      </c>
      <c r="O39" s="174">
        <f t="shared" si="1"/>
        <v>376.1276632025515</v>
      </c>
      <c r="P39" s="174">
        <f t="shared" si="2"/>
        <v>105.14940962605957</v>
      </c>
      <c r="Q39" s="175">
        <f t="shared" si="3"/>
        <v>105.14940962605957</v>
      </c>
      <c r="R39" s="176">
        <f t="shared" si="4"/>
        <v>19.359619072381534</v>
      </c>
      <c r="S39" s="177">
        <f t="shared" si="5"/>
        <v>354.75880630352003</v>
      </c>
      <c r="T39" s="177">
        <f t="shared" si="6"/>
        <v>65.3165374587782</v>
      </c>
      <c r="U39" s="167"/>
      <c r="V39" s="178">
        <f t="shared" si="21"/>
        <v>5.0539768141811374E-2</v>
      </c>
      <c r="W39" s="179">
        <f t="shared" si="22"/>
        <v>9.6728238730746014E-5</v>
      </c>
      <c r="X39" s="180">
        <f t="shared" si="7"/>
        <v>5.5178132457088379E-2</v>
      </c>
      <c r="Y39" s="180">
        <f t="shared" si="8"/>
        <v>2.1569290785879456E-4</v>
      </c>
      <c r="Z39" s="181">
        <f t="shared" si="9"/>
        <v>1.0478656917586775</v>
      </c>
      <c r="AA39" s="181">
        <f t="shared" si="10"/>
        <v>4.4357633354916805E-2</v>
      </c>
      <c r="AB39" s="181">
        <f t="shared" si="11"/>
        <v>-4.8989639213487673E-2</v>
      </c>
      <c r="AC39" s="181">
        <f t="shared" si="23"/>
        <v>5.2292717940051081E-2</v>
      </c>
      <c r="AD39" s="181">
        <f t="shared" si="24"/>
        <v>1.9372438944547423E-4</v>
      </c>
      <c r="AE39" s="267"/>
      <c r="AF39" s="182">
        <f t="shared" si="12"/>
        <v>0.27955776698464935</v>
      </c>
      <c r="AG39" s="182">
        <f t="shared" si="13"/>
        <v>1.376966574977747E-2</v>
      </c>
      <c r="AH39" s="149">
        <f t="shared" si="14"/>
        <v>-6.6220228709036606</v>
      </c>
      <c r="AI39" s="149">
        <f t="shared" si="15"/>
        <v>7.7804806313684276</v>
      </c>
      <c r="AJ39" s="149">
        <f t="shared" si="16"/>
        <v>-1.2112941784248645</v>
      </c>
      <c r="AK39" s="149">
        <f t="shared" si="17"/>
        <v>-0.30282354460621613</v>
      </c>
      <c r="AL39" s="148">
        <f t="shared" si="25"/>
        <v>3.4413809918626914E-2</v>
      </c>
    </row>
    <row r="40" spans="1:51" ht="21" customHeight="1" x14ac:dyDescent="0.3">
      <c r="A40" s="172"/>
      <c r="B40" s="159">
        <v>20</v>
      </c>
      <c r="C40" s="159">
        <v>157.62</v>
      </c>
      <c r="D40" s="159">
        <v>421.98</v>
      </c>
      <c r="E40" s="160">
        <v>5.1639999999999998E-2</v>
      </c>
      <c r="F40" s="160">
        <v>8.8900000000000006E-5</v>
      </c>
      <c r="G40" s="159">
        <v>0.17219999999999999</v>
      </c>
      <c r="H40" s="159">
        <v>1.04</v>
      </c>
      <c r="I40" s="159">
        <v>556</v>
      </c>
      <c r="J40" s="220">
        <v>2.11</v>
      </c>
      <c r="K40" s="173"/>
      <c r="L40" s="174">
        <f t="shared" si="18"/>
        <v>1.4116585342965737</v>
      </c>
      <c r="M40" s="174">
        <f t="shared" si="19"/>
        <v>0.66903248070927668</v>
      </c>
      <c r="N40" s="174">
        <f t="shared" si="20"/>
        <v>0.41786639261098685</v>
      </c>
      <c r="O40" s="174">
        <f t="shared" si="1"/>
        <v>530.27245222334227</v>
      </c>
      <c r="P40" s="174">
        <f t="shared" si="2"/>
        <v>141.42655905907685</v>
      </c>
      <c r="Q40" s="175">
        <f t="shared" si="3"/>
        <v>141.42655905907685</v>
      </c>
      <c r="R40" s="176">
        <f t="shared" si="4"/>
        <v>26.041563171021892</v>
      </c>
      <c r="S40" s="177">
        <f t="shared" si="5"/>
        <v>338.4492305671925</v>
      </c>
      <c r="T40" s="177">
        <f t="shared" si="6"/>
        <v>62.320310107506813</v>
      </c>
      <c r="U40" s="167"/>
      <c r="V40" s="178">
        <f t="shared" si="21"/>
        <v>4.910425620934921E-2</v>
      </c>
      <c r="W40" s="179">
        <f t="shared" si="22"/>
        <v>8.0383621413210676E-5</v>
      </c>
      <c r="X40" s="180">
        <f t="shared" si="7"/>
        <v>5.3512141526081275E-2</v>
      </c>
      <c r="Y40" s="180">
        <f t="shared" si="8"/>
        <v>2.0032427183956357E-4</v>
      </c>
      <c r="Z40" s="181">
        <f t="shared" si="9"/>
        <v>1.0477203900172118</v>
      </c>
      <c r="AA40" s="181">
        <f t="shared" si="10"/>
        <v>4.2624416676934791E-2</v>
      </c>
      <c r="AB40" s="181">
        <f t="shared" si="11"/>
        <v>-4.8835064623086268E-2</v>
      </c>
      <c r="AC40" s="181">
        <f t="shared" si="23"/>
        <v>5.0794043482560565E-2</v>
      </c>
      <c r="AD40" s="181">
        <f t="shared" si="24"/>
        <v>1.8049055589401108E-4</v>
      </c>
      <c r="AE40" s="267"/>
      <c r="AF40" s="182">
        <f t="shared" si="12"/>
        <v>0.26670546143986801</v>
      </c>
      <c r="AG40" s="182">
        <f t="shared" si="13"/>
        <v>1.315609714997449E-2</v>
      </c>
      <c r="AH40" s="149">
        <f t="shared" si="14"/>
        <v>-6.5555090616350524</v>
      </c>
      <c r="AI40" s="149">
        <f t="shared" si="15"/>
        <v>7.6491009323070527</v>
      </c>
      <c r="AJ40" s="149">
        <f t="shared" si="16"/>
        <v>-1.1439992028841344</v>
      </c>
      <c r="AK40" s="149">
        <f t="shared" si="17"/>
        <v>-0.28599980072103359</v>
      </c>
      <c r="AL40" s="148">
        <f t="shared" si="25"/>
        <v>2.1561504373845575E-2</v>
      </c>
    </row>
    <row r="41" spans="1:51" ht="21" customHeight="1" x14ac:dyDescent="0.35">
      <c r="A41" s="172"/>
      <c r="B41" s="159">
        <v>21</v>
      </c>
      <c r="C41" s="159">
        <v>164.68</v>
      </c>
      <c r="D41" s="159">
        <v>212.25</v>
      </c>
      <c r="E41" s="160">
        <v>0.112</v>
      </c>
      <c r="F41" s="160">
        <v>1.5349999999999999E-4</v>
      </c>
      <c r="G41" s="159">
        <v>0.1371</v>
      </c>
      <c r="H41" s="159">
        <v>0.93</v>
      </c>
      <c r="I41" s="159">
        <v>448</v>
      </c>
      <c r="J41" s="220">
        <v>1.86</v>
      </c>
      <c r="K41" s="173"/>
      <c r="L41" s="174">
        <f t="shared" si="18"/>
        <v>1.1988821160722267</v>
      </c>
      <c r="M41" s="174">
        <f t="shared" si="19"/>
        <v>0.64456027745818645</v>
      </c>
      <c r="N41" s="174">
        <f t="shared" si="20"/>
        <v>0.32108847493834458</v>
      </c>
      <c r="O41" s="174">
        <f t="shared" si="1"/>
        <v>407.46127469675929</v>
      </c>
      <c r="P41" s="174">
        <f t="shared" si="2"/>
        <v>400.45318644735011</v>
      </c>
      <c r="Q41" s="175">
        <f t="shared" si="3"/>
        <v>400.45318644735011</v>
      </c>
      <c r="R41" s="176">
        <f t="shared" si="4"/>
        <v>75.932780751516816</v>
      </c>
      <c r="S41" s="177">
        <f t="shared" si="5"/>
        <v>1247.1739651329594</v>
      </c>
      <c r="T41" s="177">
        <f t="shared" si="6"/>
        <v>236.4855380315268</v>
      </c>
      <c r="U41" s="167"/>
      <c r="V41" s="178">
        <f t="shared" si="21"/>
        <v>0.10071942446043165</v>
      </c>
      <c r="W41" s="179">
        <f t="shared" si="22"/>
        <v>1.2413630246881627E-4</v>
      </c>
      <c r="X41" s="180">
        <f t="shared" si="7"/>
        <v>0.11691943860652707</v>
      </c>
      <c r="Y41" s="180">
        <f t="shared" si="8"/>
        <v>4.8055445003410547E-4</v>
      </c>
      <c r="Z41" s="181">
        <f t="shared" si="9"/>
        <v>1.0532576517778203</v>
      </c>
      <c r="AA41" s="181">
        <f t="shared" si="10"/>
        <v>0.11230004510017755</v>
      </c>
      <c r="AB41" s="181">
        <f t="shared" si="11"/>
        <v>-5.4890397422833269E-2</v>
      </c>
      <c r="AC41" s="181">
        <f t="shared" si="23"/>
        <v>0.10468027913669065</v>
      </c>
      <c r="AD41" s="181">
        <f t="shared" si="24"/>
        <v>3.8521119893923401E-4</v>
      </c>
      <c r="AE41" s="267"/>
      <c r="AF41" s="182">
        <f t="shared" si="12"/>
        <v>0.98280060294165439</v>
      </c>
      <c r="AG41" s="182">
        <f t="shared" si="13"/>
        <v>6.5798242005940741E-2</v>
      </c>
      <c r="AH41" s="149">
        <f t="shared" si="14"/>
        <v>-10.261475706613192</v>
      </c>
      <c r="AI41" s="149">
        <f t="shared" si="15"/>
        <v>16.674490847545293</v>
      </c>
      <c r="AJ41" s="149">
        <f t="shared" si="16"/>
        <v>-6.5987644548880713</v>
      </c>
      <c r="AK41" s="149">
        <f t="shared" si="17"/>
        <v>-1.6496911137220178</v>
      </c>
      <c r="AL41" s="148">
        <f t="shared" si="25"/>
        <v>0.73765664587563196</v>
      </c>
      <c r="AM41" s="274"/>
      <c r="AN41" s="261"/>
      <c r="AO41" s="261"/>
      <c r="AP41" s="261"/>
      <c r="AQ41" s="275"/>
      <c r="AR41" s="276"/>
      <c r="AS41" s="277"/>
      <c r="AT41" s="277"/>
      <c r="AU41" s="268"/>
      <c r="AV41" s="268"/>
      <c r="AW41" s="268"/>
      <c r="AX41" s="268"/>
      <c r="AY41" s="268"/>
    </row>
    <row r="42" spans="1:51" ht="21" customHeight="1" x14ac:dyDescent="0.35">
      <c r="A42" s="172"/>
      <c r="B42" s="159">
        <v>22</v>
      </c>
      <c r="C42" s="159">
        <v>166.96</v>
      </c>
      <c r="D42" s="159">
        <v>402.56</v>
      </c>
      <c r="E42" s="160">
        <v>5.1360000000000003E-2</v>
      </c>
      <c r="F42" s="160">
        <v>9.5740000000000002E-5</v>
      </c>
      <c r="G42" s="159">
        <v>0.18640000000000001</v>
      </c>
      <c r="H42" s="159">
        <v>0.98</v>
      </c>
      <c r="I42" s="159">
        <v>498</v>
      </c>
      <c r="J42" s="220">
        <v>2.2599999999999998</v>
      </c>
      <c r="K42" s="173"/>
      <c r="L42" s="174">
        <f t="shared" si="18"/>
        <v>1.377508268510784</v>
      </c>
      <c r="M42" s="174">
        <f t="shared" si="19"/>
        <v>0.60951693296937348</v>
      </c>
      <c r="N42" s="174">
        <f t="shared" si="20"/>
        <v>0.34265241006128733</v>
      </c>
      <c r="O42" s="174">
        <f t="shared" si="1"/>
        <v>434.82590836777359</v>
      </c>
      <c r="P42" s="174">
        <f t="shared" si="2"/>
        <v>114.99618199112673</v>
      </c>
      <c r="Q42" s="175">
        <f t="shared" si="3"/>
        <v>114.99618199112673</v>
      </c>
      <c r="R42" s="176">
        <f t="shared" si="4"/>
        <v>21.175942515326863</v>
      </c>
      <c r="S42" s="177">
        <f t="shared" si="5"/>
        <v>335.60593363565823</v>
      </c>
      <c r="T42" s="177">
        <f t="shared" si="6"/>
        <v>61.800068797237699</v>
      </c>
      <c r="U42" s="167"/>
      <c r="V42" s="178">
        <f t="shared" si="21"/>
        <v>4.8851012022523205E-2</v>
      </c>
      <c r="W42" s="179">
        <f t="shared" si="22"/>
        <v>8.6614484200429569E-5</v>
      </c>
      <c r="X42" s="180">
        <f t="shared" si="7"/>
        <v>5.3218783398742101E-2</v>
      </c>
      <c r="Y42" s="180">
        <f t="shared" si="8"/>
        <v>2.0272879263602274E-4</v>
      </c>
      <c r="Z42" s="181">
        <f t="shared" si="9"/>
        <v>1.0476948054188759</v>
      </c>
      <c r="AA42" s="181">
        <f t="shared" si="10"/>
        <v>4.2319765693632487E-2</v>
      </c>
      <c r="AB42" s="181">
        <f t="shared" si="11"/>
        <v>-4.8807871450972769E-2</v>
      </c>
      <c r="AC42" s="181">
        <f t="shared" si="23"/>
        <v>5.0529656551514236E-2</v>
      </c>
      <c r="AD42" s="181">
        <f t="shared" si="24"/>
        <v>1.8275877662366733E-4</v>
      </c>
      <c r="AE42" s="267"/>
      <c r="AF42" s="182">
        <f t="shared" si="12"/>
        <v>0.26446488072155888</v>
      </c>
      <c r="AG42" s="182">
        <f t="shared" si="13"/>
        <v>1.305530319044527E-2</v>
      </c>
      <c r="AH42" s="149">
        <f t="shared" si="14"/>
        <v>-6.5439135110912776</v>
      </c>
      <c r="AI42" s="149">
        <f t="shared" si="15"/>
        <v>7.6263116299483489</v>
      </c>
      <c r="AJ42" s="149">
        <f t="shared" si="16"/>
        <v>-1.1323819813134464</v>
      </c>
      <c r="AK42" s="149">
        <f t="shared" si="17"/>
        <v>-0.28309549532836159</v>
      </c>
      <c r="AL42" s="148">
        <f t="shared" si="25"/>
        <v>1.9320923655536448E-2</v>
      </c>
      <c r="AM42" s="273"/>
      <c r="AN42" s="278"/>
      <c r="AO42" s="279"/>
      <c r="AP42" s="279"/>
      <c r="AQ42" s="270"/>
      <c r="AR42" s="269"/>
      <c r="AS42" s="270"/>
      <c r="AT42" s="271"/>
      <c r="AU42" s="271"/>
      <c r="AV42" s="271"/>
      <c r="AW42" s="270"/>
      <c r="AX42" s="272"/>
      <c r="AY42" s="272"/>
    </row>
    <row r="43" spans="1:51" ht="21" customHeight="1" x14ac:dyDescent="0.35">
      <c r="A43" s="172"/>
      <c r="B43" s="159">
        <v>29</v>
      </c>
      <c r="C43" s="159">
        <v>216.42</v>
      </c>
      <c r="D43" s="159">
        <v>85.35</v>
      </c>
      <c r="E43" s="160">
        <v>1.5219999999999999E-2</v>
      </c>
      <c r="F43" s="160">
        <v>1.1400000000000001E-4</v>
      </c>
      <c r="G43" s="159">
        <v>0.74919999999999998</v>
      </c>
      <c r="H43" s="159">
        <v>0.49</v>
      </c>
      <c r="I43" s="159">
        <v>125</v>
      </c>
      <c r="J43" s="220">
        <v>1.73</v>
      </c>
      <c r="K43" s="173"/>
      <c r="L43" s="174">
        <f t="shared" si="18"/>
        <v>0.61375884805009706</v>
      </c>
      <c r="M43" s="174">
        <f t="shared" si="19"/>
        <v>0.35477390060699254</v>
      </c>
      <c r="N43" s="174">
        <f t="shared" si="20"/>
        <v>4.8982126812496599E-2</v>
      </c>
      <c r="O43" s="174">
        <f t="shared" si="1"/>
        <v>62.158318925058182</v>
      </c>
      <c r="P43" s="174">
        <f t="shared" si="2"/>
        <v>1.4060384416730838</v>
      </c>
      <c r="Q43" s="175">
        <f t="shared" si="3"/>
        <v>1.4060384416730838</v>
      </c>
      <c r="R43" s="176">
        <f t="shared" si="4"/>
        <v>0.42656989980977267</v>
      </c>
      <c r="S43" s="177">
        <f t="shared" si="5"/>
        <v>28.705132528348425</v>
      </c>
      <c r="T43" s="177">
        <f t="shared" si="6"/>
        <v>8.7086847298950634</v>
      </c>
      <c r="U43" s="167"/>
      <c r="V43" s="178">
        <f t="shared" si="21"/>
        <v>1.4991824432142786E-2</v>
      </c>
      <c r="W43" s="179">
        <f t="shared" si="22"/>
        <v>1.1060748607664913E-4</v>
      </c>
      <c r="X43" s="180">
        <f t="shared" si="7"/>
        <v>1.5414669638510896E-2</v>
      </c>
      <c r="Y43" s="180">
        <f t="shared" si="8"/>
        <v>1.2863571841919636E-4</v>
      </c>
      <c r="Z43" s="181">
        <f t="shared" si="9"/>
        <v>1.0444004148615893</v>
      </c>
      <c r="AA43" s="181">
        <f t="shared" si="10"/>
        <v>4.4251583328376474E-3</v>
      </c>
      <c r="AB43" s="181">
        <f t="shared" si="11"/>
        <v>-4.5366945857951792E-2</v>
      </c>
      <c r="AC43" s="181">
        <f t="shared" si="23"/>
        <v>1.5180664707157067E-2</v>
      </c>
      <c r="AD43" s="181">
        <f t="shared" si="24"/>
        <v>1.2475981143113637E-4</v>
      </c>
      <c r="AE43" s="267"/>
      <c r="AF43" s="182">
        <f t="shared" si="12"/>
        <v>2.2620277800116963E-2</v>
      </c>
      <c r="AG43" s="182">
        <f t="shared" si="13"/>
        <v>5.5670525557250045E-3</v>
      </c>
      <c r="AH43" s="149">
        <f t="shared" si="14"/>
        <v>-5.2923088293234288</v>
      </c>
      <c r="AI43" s="149">
        <f t="shared" si="15"/>
        <v>5.3663640256627936</v>
      </c>
      <c r="AJ43" s="149">
        <f t="shared" si="16"/>
        <v>-7.8330428843585778E-2</v>
      </c>
      <c r="AK43" s="149">
        <f t="shared" si="17"/>
        <v>-1.9582607210896445E-2</v>
      </c>
      <c r="AL43" s="148">
        <f t="shared" si="25"/>
        <v>0.22252367926590547</v>
      </c>
      <c r="AM43" s="273"/>
      <c r="AN43" s="278"/>
      <c r="AO43" s="279"/>
      <c r="AP43" s="279"/>
      <c r="AQ43" s="270"/>
      <c r="AR43" s="269"/>
      <c r="AS43" s="270"/>
      <c r="AT43" s="271"/>
      <c r="AU43" s="271"/>
      <c r="AV43" s="271"/>
      <c r="AW43" s="270"/>
      <c r="AX43" s="272"/>
      <c r="AY43" s="272"/>
    </row>
    <row r="44" spans="1:51" ht="21" customHeight="1" x14ac:dyDescent="0.35">
      <c r="A44" s="172"/>
      <c r="B44" s="159">
        <v>24</v>
      </c>
      <c r="C44" s="159">
        <v>181.39</v>
      </c>
      <c r="D44" s="159">
        <v>321.79000000000002</v>
      </c>
      <c r="E44" s="160">
        <v>7.8689999999999996E-2</v>
      </c>
      <c r="F44" s="160">
        <v>1.115E-4</v>
      </c>
      <c r="G44" s="159">
        <v>0.14169999999999999</v>
      </c>
      <c r="H44" s="159">
        <v>1.07</v>
      </c>
      <c r="I44" s="159">
        <v>588</v>
      </c>
      <c r="J44" s="220">
        <v>2.48</v>
      </c>
      <c r="K44" s="173"/>
      <c r="L44" s="174">
        <f t="shared" si="18"/>
        <v>1.5607311792607461</v>
      </c>
      <c r="M44" s="174">
        <f t="shared" si="19"/>
        <v>0.62932708841159113</v>
      </c>
      <c r="N44" s="174">
        <f t="shared" si="20"/>
        <v>0.42022682413085544</v>
      </c>
      <c r="O44" s="174">
        <f t="shared" si="1"/>
        <v>533.26783982205552</v>
      </c>
      <c r="P44" s="174">
        <f t="shared" si="2"/>
        <v>277.4993488610391</v>
      </c>
      <c r="Q44" s="175">
        <f t="shared" si="3"/>
        <v>277.4993488610391</v>
      </c>
      <c r="R44" s="176">
        <f t="shared" si="4"/>
        <v>51.38261235584045</v>
      </c>
      <c r="S44" s="177">
        <f t="shared" si="5"/>
        <v>660.35610514627206</v>
      </c>
      <c r="T44" s="177">
        <f t="shared" si="6"/>
        <v>122.27351850304609</v>
      </c>
      <c r="U44" s="167"/>
      <c r="V44" s="178">
        <f t="shared" si="21"/>
        <v>7.294959626954918E-2</v>
      </c>
      <c r="W44" s="179">
        <f t="shared" si="22"/>
        <v>9.5825603292832301E-5</v>
      </c>
      <c r="X44" s="180">
        <f t="shared" si="7"/>
        <v>8.1886447300437565E-2</v>
      </c>
      <c r="Y44" s="180">
        <f t="shared" si="8"/>
        <v>3.1828527306215461E-4</v>
      </c>
      <c r="Z44" s="181">
        <f t="shared" si="9"/>
        <v>1.0501964704015361</v>
      </c>
      <c r="AA44" s="181">
        <f t="shared" si="10"/>
        <v>7.2861800674333926E-2</v>
      </c>
      <c r="AB44" s="181">
        <f t="shared" si="11"/>
        <v>-5.1501044533503931E-2</v>
      </c>
      <c r="AC44" s="181">
        <f t="shared" si="23"/>
        <v>7.5688578505409332E-2</v>
      </c>
      <c r="AD44" s="181">
        <f t="shared" si="24"/>
        <v>2.7192753354010439E-4</v>
      </c>
      <c r="AE44" s="267"/>
      <c r="AF44" s="182">
        <f t="shared" si="12"/>
        <v>0.52037518136034044</v>
      </c>
      <c r="AG44" s="182">
        <f t="shared" si="13"/>
        <v>2.7599276194605324E-2</v>
      </c>
      <c r="AH44" s="149">
        <f t="shared" si="14"/>
        <v>-7.8683116019436889</v>
      </c>
      <c r="AI44" s="149">
        <f t="shared" si="15"/>
        <v>10.44903967082074</v>
      </c>
      <c r="AJ44" s="149">
        <f t="shared" si="16"/>
        <v>-2.6790789781541502</v>
      </c>
      <c r="AK44" s="149">
        <f t="shared" si="17"/>
        <v>-0.66976974453853755</v>
      </c>
      <c r="AL44" s="148">
        <f t="shared" si="25"/>
        <v>0.27523122429431801</v>
      </c>
      <c r="AM44" s="273"/>
      <c r="AN44" s="278"/>
      <c r="AO44" s="279"/>
      <c r="AP44" s="279"/>
      <c r="AQ44" s="270"/>
      <c r="AR44" s="269"/>
      <c r="AS44" s="270"/>
      <c r="AT44" s="271"/>
      <c r="AU44" s="271"/>
      <c r="AV44" s="271"/>
      <c r="AW44" s="270"/>
      <c r="AX44" s="272"/>
      <c r="AY44" s="272"/>
    </row>
    <row r="45" spans="1:51" ht="21" customHeight="1" x14ac:dyDescent="0.35">
      <c r="A45" s="172"/>
      <c r="B45" s="159">
        <v>25</v>
      </c>
      <c r="C45" s="159">
        <v>181.61</v>
      </c>
      <c r="D45" s="159">
        <v>378.56</v>
      </c>
      <c r="E45" s="160">
        <v>4.879E-2</v>
      </c>
      <c r="F45" s="160">
        <v>8.8380000000000004E-5</v>
      </c>
      <c r="G45" s="159">
        <v>0.18110000000000001</v>
      </c>
      <c r="H45" s="159">
        <v>1.06</v>
      </c>
      <c r="I45" s="159">
        <v>583</v>
      </c>
      <c r="J45" s="220">
        <v>2.1800000000000002</v>
      </c>
      <c r="K45" s="173"/>
      <c r="L45" s="174">
        <f t="shared" si="18"/>
        <v>1.4666467787949469</v>
      </c>
      <c r="M45" s="174">
        <f t="shared" si="19"/>
        <v>0.67277375174080123</v>
      </c>
      <c r="N45" s="174">
        <f t="shared" si="20"/>
        <v>0.44165739724167513</v>
      </c>
      <c r="O45" s="174">
        <f t="shared" si="1"/>
        <v>560.46323709968578</v>
      </c>
      <c r="P45" s="174">
        <f t="shared" si="2"/>
        <v>136.87066027273045</v>
      </c>
      <c r="Q45" s="175">
        <f t="shared" si="3"/>
        <v>136.87066027273045</v>
      </c>
      <c r="R45" s="176">
        <f t="shared" si="4"/>
        <v>25.215936674184753</v>
      </c>
      <c r="S45" s="177">
        <f t="shared" si="5"/>
        <v>309.90233861708595</v>
      </c>
      <c r="T45" s="177">
        <f t="shared" si="6"/>
        <v>57.093885060384444</v>
      </c>
      <c r="U45" s="167"/>
      <c r="V45" s="178">
        <f t="shared" si="21"/>
        <v>4.6520275746336257E-2</v>
      </c>
      <c r="W45" s="179">
        <f t="shared" si="22"/>
        <v>8.0348342403664054E-5</v>
      </c>
      <c r="X45" s="180">
        <f t="shared" si="7"/>
        <v>5.052650946610758E-2</v>
      </c>
      <c r="Y45" s="180">
        <f t="shared" si="8"/>
        <v>1.8955679311957768E-4</v>
      </c>
      <c r="Z45" s="181">
        <f t="shared" si="9"/>
        <v>1.0474600191251091</v>
      </c>
      <c r="AA45" s="181">
        <f t="shared" si="10"/>
        <v>3.9531469340097762E-2</v>
      </c>
      <c r="AB45" s="181">
        <f t="shared" si="11"/>
        <v>-4.8558661672005919E-2</v>
      </c>
      <c r="AC45" s="181">
        <f t="shared" si="23"/>
        <v>4.8096367879175046E-2</v>
      </c>
      <c r="AD45" s="181">
        <f t="shared" si="24"/>
        <v>1.7176130086941248E-4</v>
      </c>
      <c r="AE45" s="267"/>
      <c r="AF45" s="182">
        <f t="shared" si="12"/>
        <v>0.24420988070692351</v>
      </c>
      <c r="AG45" s="182">
        <f t="shared" si="13"/>
        <v>1.2134536831716466E-2</v>
      </c>
      <c r="AH45" s="149">
        <f t="shared" si="14"/>
        <v>-6.4390889562271783</v>
      </c>
      <c r="AI45" s="149">
        <f t="shared" si="15"/>
        <v>7.4218377426717739</v>
      </c>
      <c r="AJ45" s="149">
        <f t="shared" si="16"/>
        <v>-1.0289044538982037</v>
      </c>
      <c r="AK45" s="149">
        <f t="shared" si="17"/>
        <v>-0.25722611347455093</v>
      </c>
      <c r="AL45" s="148">
        <f t="shared" si="25"/>
        <v>9.3407635909892317E-4</v>
      </c>
      <c r="AM45" s="273"/>
      <c r="AN45" s="278"/>
      <c r="AO45" s="272"/>
      <c r="AP45" s="272"/>
      <c r="AQ45" s="280"/>
      <c r="AR45" s="280"/>
      <c r="AS45" s="280"/>
      <c r="AT45" s="280"/>
      <c r="AU45" s="280"/>
      <c r="AV45" s="280"/>
      <c r="AW45" s="280"/>
      <c r="AX45" s="280"/>
      <c r="AY45" s="280"/>
    </row>
    <row r="46" spans="1:51" ht="21" customHeight="1" x14ac:dyDescent="0.35">
      <c r="A46" s="172"/>
      <c r="B46" s="159">
        <v>64</v>
      </c>
      <c r="C46" s="159">
        <v>502.92</v>
      </c>
      <c r="D46" s="159">
        <v>60.43</v>
      </c>
      <c r="E46" s="160">
        <v>6.0429999999999998E-2</v>
      </c>
      <c r="F46" s="160">
        <v>1.0399999999999999E-4</v>
      </c>
      <c r="G46" s="159">
        <v>0.1721</v>
      </c>
      <c r="H46" s="159">
        <v>0.98</v>
      </c>
      <c r="I46" s="159">
        <v>496</v>
      </c>
      <c r="J46" s="220">
        <v>2.2000000000000002</v>
      </c>
      <c r="K46" s="173"/>
      <c r="L46" s="174">
        <f t="shared" si="18"/>
        <v>1.3583126517207853</v>
      </c>
      <c r="M46" s="174">
        <f t="shared" si="19"/>
        <v>0.61741484169126593</v>
      </c>
      <c r="N46" s="174">
        <f t="shared" si="20"/>
        <v>0.34505462168949741</v>
      </c>
      <c r="O46" s="174">
        <f t="shared" si="1"/>
        <v>437.87431492397224</v>
      </c>
      <c r="P46" s="174">
        <f t="shared" si="2"/>
        <v>149.1589991165776</v>
      </c>
      <c r="Q46" s="175">
        <f t="shared" si="3"/>
        <v>149.1589991165776</v>
      </c>
      <c r="R46" s="176">
        <f t="shared" si="4"/>
        <v>27.469829836278112</v>
      </c>
      <c r="S46" s="177">
        <f t="shared" si="5"/>
        <v>432.27648534671874</v>
      </c>
      <c r="T46" s="177">
        <f t="shared" si="6"/>
        <v>79.610091010452393</v>
      </c>
      <c r="U46" s="167"/>
      <c r="V46" s="178">
        <f t="shared" si="21"/>
        <v>5.6986316871457804E-2</v>
      </c>
      <c r="W46" s="179">
        <f t="shared" si="22"/>
        <v>9.2484579883036491E-5</v>
      </c>
      <c r="X46" s="180">
        <f t="shared" si="7"/>
        <v>6.2725135120716188E-2</v>
      </c>
      <c r="Y46" s="180">
        <f t="shared" si="8"/>
        <v>2.4100505058671586E-4</v>
      </c>
      <c r="Z46" s="181">
        <f t="shared" si="9"/>
        <v>1.0485240404004836</v>
      </c>
      <c r="AA46" s="181">
        <f t="shared" si="10"/>
        <v>5.2275058687243976E-2</v>
      </c>
      <c r="AB46" s="181">
        <f t="shared" si="11"/>
        <v>-4.9692927363963156E-2</v>
      </c>
      <c r="AC46" s="181">
        <f t="shared" si="23"/>
        <v>5.9022914813801945E-2</v>
      </c>
      <c r="AD46" s="181">
        <f t="shared" si="24"/>
        <v>2.133949998185372E-4</v>
      </c>
      <c r="AE46" s="267"/>
      <c r="AF46" s="182">
        <f t="shared" si="12"/>
        <v>0.34064340846865149</v>
      </c>
      <c r="AG46" s="182">
        <f t="shared" si="13"/>
        <v>1.6841258465477352E-2</v>
      </c>
      <c r="AH46" s="149">
        <f t="shared" si="14"/>
        <v>-6.9381559329881783</v>
      </c>
      <c r="AI46" s="149">
        <f t="shared" si="15"/>
        <v>8.4202084966666888</v>
      </c>
      <c r="AJ46" s="149">
        <f t="shared" si="16"/>
        <v>-1.5464341678790841</v>
      </c>
      <c r="AK46" s="149">
        <f t="shared" si="17"/>
        <v>-0.38660854196977101</v>
      </c>
      <c r="AL46" s="148">
        <f t="shared" si="25"/>
        <v>9.5499451402629054E-2</v>
      </c>
      <c r="AM46" s="273"/>
      <c r="AN46" s="278"/>
      <c r="AO46" s="272"/>
      <c r="AP46" s="272"/>
      <c r="AQ46" s="280"/>
      <c r="AR46" s="280"/>
      <c r="AS46" s="280"/>
      <c r="AT46" s="280"/>
      <c r="AU46" s="280"/>
      <c r="AV46" s="280"/>
      <c r="AW46" s="280"/>
      <c r="AX46" s="280"/>
      <c r="AY46" s="280"/>
    </row>
    <row r="47" spans="1:51" ht="21" customHeight="1" x14ac:dyDescent="0.35">
      <c r="A47" s="172"/>
      <c r="B47" s="159">
        <v>27</v>
      </c>
      <c r="C47" s="159">
        <v>199.99</v>
      </c>
      <c r="D47" s="159">
        <v>449.94</v>
      </c>
      <c r="E47" s="160">
        <v>7.8869999999999996E-2</v>
      </c>
      <c r="F47" s="160">
        <v>1.0569999999999999E-4</v>
      </c>
      <c r="G47" s="159">
        <v>0.13400000000000001</v>
      </c>
      <c r="H47" s="159">
        <v>1.1299999999999999</v>
      </c>
      <c r="I47" s="159">
        <v>656</v>
      </c>
      <c r="J47" s="220">
        <v>2.12</v>
      </c>
      <c r="K47" s="173"/>
      <c r="L47" s="174">
        <f t="shared" si="18"/>
        <v>1.5365791792429149</v>
      </c>
      <c r="M47" s="174">
        <f t="shared" si="19"/>
        <v>0.72480149964288432</v>
      </c>
      <c r="N47" s="174">
        <f t="shared" si="20"/>
        <v>0.53430675654787174</v>
      </c>
      <c r="O47" s="174">
        <f t="shared" si="1"/>
        <v>678.03527405924922</v>
      </c>
      <c r="P47" s="174">
        <f t="shared" si="2"/>
        <v>354.17352796166318</v>
      </c>
      <c r="Q47" s="175">
        <f t="shared" si="3"/>
        <v>354.17352796166318</v>
      </c>
      <c r="R47" s="176">
        <f t="shared" si="4"/>
        <v>65.58449579224559</v>
      </c>
      <c r="S47" s="177">
        <f t="shared" si="5"/>
        <v>662.86552363657154</v>
      </c>
      <c r="T47" s="177">
        <f t="shared" si="6"/>
        <v>122.74689583935567</v>
      </c>
      <c r="U47" s="167"/>
      <c r="V47" s="178">
        <f t="shared" si="21"/>
        <v>7.3104266501061291E-2</v>
      </c>
      <c r="W47" s="179">
        <f t="shared" si="22"/>
        <v>9.0810643572291209E-5</v>
      </c>
      <c r="X47" s="180">
        <f t="shared" si="7"/>
        <v>8.207548415065101E-2</v>
      </c>
      <c r="Y47" s="180">
        <f t="shared" si="8"/>
        <v>3.1686062911058326E-4</v>
      </c>
      <c r="Z47" s="181">
        <f t="shared" si="9"/>
        <v>1.0502129764793391</v>
      </c>
      <c r="AA47" s="181">
        <f t="shared" si="10"/>
        <v>7.3068366444287547E-2</v>
      </c>
      <c r="AB47" s="181">
        <f t="shared" si="11"/>
        <v>-5.1519043549594093E-2</v>
      </c>
      <c r="AC47" s="181">
        <f t="shared" si="23"/>
        <v>7.5850054227107985E-2</v>
      </c>
      <c r="AD47" s="181">
        <f t="shared" si="24"/>
        <v>2.7061580961697625E-4</v>
      </c>
      <c r="AE47" s="267"/>
      <c r="AF47" s="182">
        <f t="shared" si="12"/>
        <v>0.52235265850005641</v>
      </c>
      <c r="AG47" s="182">
        <f t="shared" si="13"/>
        <v>2.7728152674455324E-2</v>
      </c>
      <c r="AH47" s="149">
        <f t="shared" si="14"/>
        <v>-7.8785455274324523</v>
      </c>
      <c r="AI47" s="149">
        <f t="shared" si="15"/>
        <v>10.472578405869939</v>
      </c>
      <c r="AJ47" s="149">
        <f t="shared" si="16"/>
        <v>-2.6927575308939944</v>
      </c>
      <c r="AK47" s="149">
        <f t="shared" si="17"/>
        <v>-0.6731893827234986</v>
      </c>
      <c r="AL47" s="148">
        <f t="shared" si="25"/>
        <v>0.27720870143403398</v>
      </c>
      <c r="AM47" s="273"/>
      <c r="AN47" s="278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</row>
    <row r="48" spans="1:51" ht="21" customHeight="1" x14ac:dyDescent="0.35">
      <c r="A48" s="172"/>
      <c r="B48" s="159">
        <v>43</v>
      </c>
      <c r="C48" s="159">
        <v>268.55</v>
      </c>
      <c r="D48" s="159">
        <v>345</v>
      </c>
      <c r="E48" s="160">
        <v>7.7770000000000006E-2</v>
      </c>
      <c r="F48" s="160">
        <v>1.052E-4</v>
      </c>
      <c r="G48" s="159">
        <v>0.1353</v>
      </c>
      <c r="H48" s="159">
        <v>1.1299999999999999</v>
      </c>
      <c r="I48" s="159">
        <v>652</v>
      </c>
      <c r="J48" s="220">
        <v>2.15</v>
      </c>
      <c r="K48" s="173"/>
      <c r="L48" s="174">
        <f t="shared" si="18"/>
        <v>1.541477287733152</v>
      </c>
      <c r="M48" s="174">
        <f t="shared" si="19"/>
        <v>0.71696618034100101</v>
      </c>
      <c r="N48" s="174">
        <f t="shared" si="20"/>
        <v>0.52584910574990407</v>
      </c>
      <c r="O48" s="174">
        <f t="shared" si="1"/>
        <v>667.30251519662829</v>
      </c>
      <c r="P48" s="174">
        <f t="shared" si="2"/>
        <v>340.54957165009421</v>
      </c>
      <c r="Q48" s="175">
        <f t="shared" si="3"/>
        <v>340.54957165009421</v>
      </c>
      <c r="R48" s="176">
        <f t="shared" si="4"/>
        <v>63.031549838337817</v>
      </c>
      <c r="S48" s="177">
        <f t="shared" si="5"/>
        <v>647.61842879706433</v>
      </c>
      <c r="T48" s="177">
        <f t="shared" si="6"/>
        <v>119.86622996810016</v>
      </c>
      <c r="U48" s="167"/>
      <c r="V48" s="178">
        <f t="shared" si="21"/>
        <v>7.2158252688421465E-2</v>
      </c>
      <c r="W48" s="179">
        <f t="shared" si="22"/>
        <v>9.0565660407302152E-5</v>
      </c>
      <c r="X48" s="180">
        <f t="shared" si="7"/>
        <v>8.0920305353274991E-2</v>
      </c>
      <c r="Y48" s="180">
        <f t="shared" si="8"/>
        <v>3.1200501940500816E-4</v>
      </c>
      <c r="Z48" s="181">
        <f t="shared" si="9"/>
        <v>1.0501121120808186</v>
      </c>
      <c r="AA48" s="181">
        <f t="shared" si="10"/>
        <v>7.1807128363912426E-2</v>
      </c>
      <c r="AB48" s="181">
        <f t="shared" si="11"/>
        <v>-5.1409103087100762E-2</v>
      </c>
      <c r="AC48" s="181">
        <f t="shared" si="23"/>
        <v>7.4862415806712018E-2</v>
      </c>
      <c r="AD48" s="181">
        <f t="shared" si="24"/>
        <v>2.6703871550843992E-4</v>
      </c>
      <c r="AE48" s="267"/>
      <c r="AF48" s="182">
        <f t="shared" si="12"/>
        <v>0.51033761134520439</v>
      </c>
      <c r="AG48" s="182">
        <f t="shared" si="13"/>
        <v>2.6932508396980252E-2</v>
      </c>
      <c r="AH48" s="149">
        <f t="shared" si="14"/>
        <v>-7.8163647341089018</v>
      </c>
      <c r="AI48" s="149">
        <f t="shared" si="15"/>
        <v>10.329966676332853</v>
      </c>
      <c r="AJ48" s="149">
        <f t="shared" si="16"/>
        <v>-2.610055750768197</v>
      </c>
      <c r="AK48" s="149">
        <f t="shared" si="17"/>
        <v>-0.65251393769204924</v>
      </c>
      <c r="AL48" s="148">
        <f t="shared" si="25"/>
        <v>0.26519365427918196</v>
      </c>
      <c r="AM48" s="273"/>
      <c r="AN48" s="278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</row>
    <row r="49" spans="1:51" ht="21" customHeight="1" x14ac:dyDescent="0.3">
      <c r="A49" s="172"/>
      <c r="B49" s="159">
        <v>30</v>
      </c>
      <c r="C49" s="159">
        <v>219.56</v>
      </c>
      <c r="D49" s="159">
        <v>396.3</v>
      </c>
      <c r="E49" s="160">
        <v>7.1360000000000007E-2</v>
      </c>
      <c r="F49" s="160">
        <v>9.9170000000000001E-5</v>
      </c>
      <c r="G49" s="159">
        <v>0.13900000000000001</v>
      </c>
      <c r="H49" s="159">
        <v>1.1200000000000001</v>
      </c>
      <c r="I49" s="159">
        <v>647</v>
      </c>
      <c r="J49" s="220">
        <v>2.25</v>
      </c>
      <c r="K49" s="173"/>
      <c r="L49" s="174">
        <f t="shared" si="18"/>
        <v>1.5670036352636232</v>
      </c>
      <c r="M49" s="174">
        <f t="shared" si="19"/>
        <v>0.69644606011716581</v>
      </c>
      <c r="N49" s="174">
        <f t="shared" si="20"/>
        <v>0.5085093338528891</v>
      </c>
      <c r="O49" s="174">
        <f t="shared" si="1"/>
        <v>645.29834465931629</v>
      </c>
      <c r="P49" s="174">
        <f t="shared" si="2"/>
        <v>286.17983804356572</v>
      </c>
      <c r="Q49" s="175">
        <f t="shared" si="3"/>
        <v>286.17983804356572</v>
      </c>
      <c r="R49" s="176">
        <f t="shared" si="4"/>
        <v>52.839761841885391</v>
      </c>
      <c r="S49" s="177">
        <f t="shared" si="5"/>
        <v>562.78187830935087</v>
      </c>
      <c r="T49" s="177">
        <f t="shared" si="6"/>
        <v>103.91109528221922</v>
      </c>
      <c r="U49" s="167"/>
      <c r="V49" s="178">
        <f t="shared" si="21"/>
        <v>6.6606929510155316E-2</v>
      </c>
      <c r="W49" s="179">
        <f t="shared" si="22"/>
        <v>8.6399147625894077E-5</v>
      </c>
      <c r="X49" s="180">
        <f t="shared" si="7"/>
        <v>7.4190969836943968E-2</v>
      </c>
      <c r="Y49" s="180">
        <f t="shared" si="8"/>
        <v>2.8283520496553304E-4</v>
      </c>
      <c r="Z49" s="181">
        <f t="shared" si="9"/>
        <v>1.0495246366685236</v>
      </c>
      <c r="AA49" s="181">
        <f t="shared" si="10"/>
        <v>6.4510236664485146E-2</v>
      </c>
      <c r="AB49" s="181">
        <f t="shared" si="11"/>
        <v>-5.0770994545886315E-2</v>
      </c>
      <c r="AC49" s="181">
        <f t="shared" si="23"/>
        <v>6.906683440860216E-2</v>
      </c>
      <c r="AD49" s="181">
        <f t="shared" si="24"/>
        <v>2.4511532873826243E-4</v>
      </c>
      <c r="AE49" s="267"/>
      <c r="AF49" s="182">
        <f t="shared" si="12"/>
        <v>0.44348453767482338</v>
      </c>
      <c r="AG49" s="182">
        <f t="shared" si="13"/>
        <v>2.2695492127472992E-2</v>
      </c>
      <c r="AH49" s="149">
        <f t="shared" si="14"/>
        <v>-7.4703838067462209</v>
      </c>
      <c r="AI49" s="149">
        <f t="shared" si="15"/>
        <v>9.5543132006185036</v>
      </c>
      <c r="AJ49" s="149">
        <f t="shared" si="16"/>
        <v>-2.1677479714928252</v>
      </c>
      <c r="AK49" s="149">
        <f t="shared" si="17"/>
        <v>-0.54193699287320629</v>
      </c>
      <c r="AL49" s="148">
        <f t="shared" si="25"/>
        <v>0.19834058060880094</v>
      </c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</row>
    <row r="50" spans="1:51" ht="21" customHeight="1" x14ac:dyDescent="0.3">
      <c r="A50" s="172"/>
      <c r="B50" s="159">
        <v>40</v>
      </c>
      <c r="C50" s="159">
        <v>261.45999999999998</v>
      </c>
      <c r="D50" s="159">
        <v>10.56</v>
      </c>
      <c r="E50" s="160">
        <v>7.4969999999999995E-2</v>
      </c>
      <c r="F50" s="160">
        <v>1.3430000000000001E-4</v>
      </c>
      <c r="G50" s="159">
        <v>0.1792</v>
      </c>
      <c r="H50" s="159">
        <v>0.81</v>
      </c>
      <c r="I50" s="159">
        <v>334</v>
      </c>
      <c r="J50" s="220">
        <v>1.22</v>
      </c>
      <c r="K50" s="173"/>
      <c r="L50" s="174">
        <f t="shared" si="18"/>
        <v>0.86860846008460546</v>
      </c>
      <c r="M50" s="174">
        <f t="shared" si="19"/>
        <v>0.7119741476103324</v>
      </c>
      <c r="N50" s="174">
        <f t="shared" si="20"/>
        <v>0.25132919270130361</v>
      </c>
      <c r="O50" s="174">
        <f t="shared" si="1"/>
        <v>318.93674553795427</v>
      </c>
      <c r="P50" s="174">
        <f t="shared" si="2"/>
        <v>153.24496656998741</v>
      </c>
      <c r="Q50" s="175">
        <f t="shared" si="3"/>
        <v>153.24496656998741</v>
      </c>
      <c r="R50" s="176">
        <f t="shared" si="4"/>
        <v>28.333000220614576</v>
      </c>
      <c r="S50" s="177">
        <f t="shared" si="5"/>
        <v>609.73802892891149</v>
      </c>
      <c r="T50" s="177">
        <f t="shared" si="6"/>
        <v>112.73262734061859</v>
      </c>
      <c r="U50" s="167"/>
      <c r="V50" s="178">
        <f t="shared" si="21"/>
        <v>6.9741481157613694E-2</v>
      </c>
      <c r="W50" s="179">
        <f t="shared" si="22"/>
        <v>1.1622065646532693E-4</v>
      </c>
      <c r="X50" s="180">
        <f t="shared" si="7"/>
        <v>7.7980350813666194E-2</v>
      </c>
      <c r="Y50" s="180">
        <f t="shared" si="8"/>
        <v>3.1274332108971285E-4</v>
      </c>
      <c r="Z50" s="181">
        <f t="shared" si="9"/>
        <v>1.0498554318982525</v>
      </c>
      <c r="AA50" s="181">
        <f t="shared" si="10"/>
        <v>6.8608659399968241E-2</v>
      </c>
      <c r="AB50" s="181">
        <f t="shared" si="11"/>
        <v>-5.1129832016575609E-2</v>
      </c>
      <c r="AC50" s="181">
        <f t="shared" si="23"/>
        <v>7.2339306328548694E-2</v>
      </c>
      <c r="AD50" s="181">
        <f t="shared" si="24"/>
        <v>2.6913262933244775E-4</v>
      </c>
      <c r="AE50" s="267"/>
      <c r="AF50" s="182">
        <f t="shared" si="12"/>
        <v>0.48048702043255437</v>
      </c>
      <c r="AG50" s="182">
        <f t="shared" si="13"/>
        <v>2.5016779273112154E-2</v>
      </c>
      <c r="AH50" s="149">
        <f t="shared" si="14"/>
        <v>-7.6618806609127521</v>
      </c>
      <c r="AI50" s="149">
        <f t="shared" si="15"/>
        <v>9.9798890914663065</v>
      </c>
      <c r="AJ50" s="149">
        <f t="shared" si="16"/>
        <v>-2.4088204774153077</v>
      </c>
      <c r="AK50" s="149">
        <f t="shared" si="17"/>
        <v>-0.60220511935382692</v>
      </c>
      <c r="AL50" s="148">
        <f t="shared" si="25"/>
        <v>0.23534306336653193</v>
      </c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</row>
    <row r="51" spans="1:51" ht="21" customHeight="1" x14ac:dyDescent="0.35">
      <c r="A51" s="172"/>
      <c r="B51" s="159">
        <v>32</v>
      </c>
      <c r="C51" s="159">
        <v>223.73</v>
      </c>
      <c r="D51" s="159">
        <v>50.02</v>
      </c>
      <c r="E51" s="160">
        <v>7.5300000000000006E-2</v>
      </c>
      <c r="F51" s="160">
        <v>1.108E-4</v>
      </c>
      <c r="G51" s="159">
        <v>0.1472</v>
      </c>
      <c r="H51" s="159">
        <v>1.06</v>
      </c>
      <c r="I51" s="159">
        <v>582</v>
      </c>
      <c r="J51" s="220">
        <v>2.2000000000000002</v>
      </c>
      <c r="K51" s="173"/>
      <c r="L51" s="174">
        <f t="shared" si="18"/>
        <v>1.4713649283762531</v>
      </c>
      <c r="M51" s="174">
        <f t="shared" si="19"/>
        <v>0.66880224017102408</v>
      </c>
      <c r="N51" s="174">
        <f t="shared" si="20"/>
        <v>0.43858099752416529</v>
      </c>
      <c r="O51" s="174">
        <f t="shared" si="1"/>
        <v>556.55928585816571</v>
      </c>
      <c r="P51" s="174">
        <f t="shared" si="2"/>
        <v>269.34775886713436</v>
      </c>
      <c r="Q51" s="175">
        <f t="shared" si="3"/>
        <v>269.34775886713436</v>
      </c>
      <c r="R51" s="176">
        <f t="shared" si="4"/>
        <v>49.80325127741655</v>
      </c>
      <c r="S51" s="177">
        <f t="shared" si="5"/>
        <v>614.13458491733593</v>
      </c>
      <c r="T51" s="177">
        <f t="shared" si="6"/>
        <v>113.55542433110648</v>
      </c>
      <c r="U51" s="167"/>
      <c r="V51" s="178">
        <f t="shared" si="21"/>
        <v>7.0026969217892698E-2</v>
      </c>
      <c r="W51" s="179">
        <f t="shared" si="22"/>
        <v>9.5825362048412082E-5</v>
      </c>
      <c r="X51" s="180">
        <f t="shared" si="7"/>
        <v>7.8326808096862252E-2</v>
      </c>
      <c r="Y51" s="180">
        <f t="shared" si="8"/>
        <v>3.0379591432811635E-4</v>
      </c>
      <c r="Z51" s="181">
        <f t="shared" si="9"/>
        <v>1.0498856785986943</v>
      </c>
      <c r="AA51" s="181">
        <f t="shared" si="10"/>
        <v>6.898472971202968E-2</v>
      </c>
      <c r="AB51" s="181">
        <f t="shared" si="11"/>
        <v>-5.1162703022656138E-2</v>
      </c>
      <c r="AC51" s="181">
        <f t="shared" si="23"/>
        <v>7.2637355863479969E-2</v>
      </c>
      <c r="AD51" s="181">
        <f t="shared" si="24"/>
        <v>2.6126493403833375E-4</v>
      </c>
      <c r="AE51" s="267"/>
      <c r="AF51" s="182">
        <f t="shared" si="12"/>
        <v>0.48395160355976036</v>
      </c>
      <c r="AG51" s="182">
        <f t="shared" si="13"/>
        <v>2.5224940262908075E-2</v>
      </c>
      <c r="AH51" s="149">
        <f t="shared" si="14"/>
        <v>-7.6798107218279164</v>
      </c>
      <c r="AI51" s="149">
        <f t="shared" si="15"/>
        <v>10.020210986292728</v>
      </c>
      <c r="AJ51" s="149">
        <f t="shared" si="16"/>
        <v>-2.4318671175376045</v>
      </c>
      <c r="AK51" s="149">
        <f t="shared" si="17"/>
        <v>-0.60796677938440113</v>
      </c>
      <c r="AL51" s="148">
        <f t="shared" si="25"/>
        <v>0.23880764649373792</v>
      </c>
      <c r="AM51" s="274"/>
      <c r="AN51" s="261"/>
      <c r="AO51" s="261"/>
      <c r="AP51" s="261"/>
      <c r="AQ51" s="275"/>
      <c r="AR51" s="276"/>
      <c r="AS51" s="277"/>
      <c r="AT51" s="277"/>
      <c r="AU51" s="268"/>
      <c r="AV51" s="268"/>
      <c r="AW51" s="268"/>
      <c r="AX51" s="268"/>
      <c r="AY51" s="268"/>
    </row>
    <row r="52" spans="1:51" ht="21" customHeight="1" x14ac:dyDescent="0.35">
      <c r="A52" s="172"/>
      <c r="B52" s="159">
        <v>33</v>
      </c>
      <c r="C52" s="159">
        <v>235.11</v>
      </c>
      <c r="D52" s="159">
        <v>101.01</v>
      </c>
      <c r="E52" s="160">
        <v>2.0129999999999999E-2</v>
      </c>
      <c r="F52" s="160">
        <v>1.21E-4</v>
      </c>
      <c r="G52" s="159">
        <v>0.6008</v>
      </c>
      <c r="H52" s="159">
        <v>0.49</v>
      </c>
      <c r="I52" s="159">
        <v>122</v>
      </c>
      <c r="J52" s="220">
        <v>2.11</v>
      </c>
      <c r="K52" s="173"/>
      <c r="L52" s="174">
        <f t="shared" si="18"/>
        <v>0.66125988552427195</v>
      </c>
      <c r="M52" s="174">
        <f t="shared" si="19"/>
        <v>0.31339331067501042</v>
      </c>
      <c r="N52" s="174">
        <f t="shared" si="20"/>
        <v>4.2950181413556672E-2</v>
      </c>
      <c r="O52" s="174">
        <f t="shared" si="1"/>
        <v>54.503780213803417</v>
      </c>
      <c r="P52" s="174">
        <f t="shared" si="2"/>
        <v>2.7666214222530572</v>
      </c>
      <c r="Q52" s="175">
        <f t="shared" si="3"/>
        <v>2.7666214222530572</v>
      </c>
      <c r="R52" s="176">
        <f t="shared" si="4"/>
        <v>0.58807611015400951</v>
      </c>
      <c r="S52" s="177">
        <f t="shared" si="5"/>
        <v>64.414662085217842</v>
      </c>
      <c r="T52" s="177">
        <f t="shared" si="6"/>
        <v>13.692051833066085</v>
      </c>
      <c r="U52" s="167"/>
      <c r="V52" s="178">
        <f t="shared" si="21"/>
        <v>1.9732779155597815E-2</v>
      </c>
      <c r="W52" s="179">
        <f t="shared" si="22"/>
        <v>1.1627178273570298E-4</v>
      </c>
      <c r="X52" s="180">
        <f t="shared" si="7"/>
        <v>2.0543772120408883E-2</v>
      </c>
      <c r="Y52" s="180">
        <f t="shared" si="8"/>
        <v>1.3964170214801421E-4</v>
      </c>
      <c r="Z52" s="181">
        <f t="shared" si="9"/>
        <v>1.0448470796867646</v>
      </c>
      <c r="AA52" s="181">
        <f t="shared" si="10"/>
        <v>9.4077261222576796E-3</v>
      </c>
      <c r="AB52" s="181">
        <f t="shared" si="11"/>
        <v>-4.5826421995805132E-2</v>
      </c>
      <c r="AC52" s="181">
        <f t="shared" si="23"/>
        <v>2.0130221438444118E-2</v>
      </c>
      <c r="AD52" s="181">
        <f t="shared" si="24"/>
        <v>1.3407625179803602E-4</v>
      </c>
      <c r="AE52" s="267"/>
      <c r="AF52" s="182">
        <f t="shared" si="12"/>
        <v>5.076017500805189E-2</v>
      </c>
      <c r="AG52" s="182">
        <f t="shared" si="13"/>
        <v>5.9434590601823139E-3</v>
      </c>
      <c r="AH52" s="149">
        <f t="shared" si="14"/>
        <v>-5.4379396462383625</v>
      </c>
      <c r="AI52" s="149">
        <f t="shared" si="15"/>
        <v>5.6089572590874273</v>
      </c>
      <c r="AJ52" s="149">
        <f t="shared" si="16"/>
        <v>-0.18061128592558706</v>
      </c>
      <c r="AK52" s="149">
        <f t="shared" si="17"/>
        <v>-4.5152821481396765E-2</v>
      </c>
      <c r="AL52" s="148">
        <f t="shared" si="25"/>
        <v>0.19438378205797055</v>
      </c>
      <c r="AM52" s="273"/>
      <c r="AN52" s="278"/>
      <c r="AO52" s="279"/>
      <c r="AP52" s="279"/>
      <c r="AQ52" s="270"/>
      <c r="AR52" s="269"/>
      <c r="AS52" s="270"/>
      <c r="AT52" s="271"/>
      <c r="AU52" s="271"/>
      <c r="AV52" s="271"/>
      <c r="AW52" s="270"/>
      <c r="AX52" s="272"/>
      <c r="AY52" s="272"/>
    </row>
    <row r="53" spans="1:51" ht="21" customHeight="1" x14ac:dyDescent="0.35">
      <c r="A53" s="172"/>
      <c r="B53" s="159">
        <v>34</v>
      </c>
      <c r="C53" s="159">
        <v>235.6</v>
      </c>
      <c r="D53" s="159">
        <v>412.85</v>
      </c>
      <c r="E53" s="160">
        <v>1.474E-2</v>
      </c>
      <c r="F53" s="160">
        <v>6.4919999999999995E-5</v>
      </c>
      <c r="G53" s="159">
        <v>0.4405</v>
      </c>
      <c r="H53" s="159">
        <v>0.77</v>
      </c>
      <c r="I53" s="159">
        <v>308</v>
      </c>
      <c r="J53" s="220">
        <v>1.83</v>
      </c>
      <c r="K53" s="173"/>
      <c r="L53" s="174">
        <f t="shared" si="18"/>
        <v>0.98706713097306675</v>
      </c>
      <c r="M53" s="174">
        <f t="shared" si="19"/>
        <v>0.53938094588692165</v>
      </c>
      <c r="N53" s="174">
        <f t="shared" si="20"/>
        <v>0.18445981523688312</v>
      </c>
      <c r="O53" s="174">
        <f t="shared" si="1"/>
        <v>234.07950553560468</v>
      </c>
      <c r="P53" s="174">
        <f t="shared" si="2"/>
        <v>4.66657316504965</v>
      </c>
      <c r="Q53" s="175">
        <f t="shared" si="3"/>
        <v>4.66657316504965</v>
      </c>
      <c r="R53" s="176">
        <f t="shared" si="4"/>
        <v>1.5337284125451998</v>
      </c>
      <c r="S53" s="177">
        <f t="shared" si="5"/>
        <v>25.298589609107225</v>
      </c>
      <c r="T53" s="177">
        <f t="shared" si="6"/>
        <v>8.3147020969070535</v>
      </c>
      <c r="U53" s="167"/>
      <c r="V53" s="178">
        <f t="shared" si="21"/>
        <v>1.4525888404911603E-2</v>
      </c>
      <c r="W53" s="179">
        <f t="shared" si="22"/>
        <v>6.3047656862598434E-5</v>
      </c>
      <c r="X53" s="180">
        <f t="shared" si="7"/>
        <v>1.4913367915591995E-2</v>
      </c>
      <c r="Y53" s="180">
        <f t="shared" si="8"/>
        <v>8.3062475929796968E-5</v>
      </c>
      <c r="Z53" s="181">
        <f t="shared" si="9"/>
        <v>1.0443567644232676</v>
      </c>
      <c r="AA53" s="181">
        <f t="shared" si="10"/>
        <v>3.9408530779487241E-3</v>
      </c>
      <c r="AB53" s="181">
        <f t="shared" si="11"/>
        <v>-4.5322162352445863E-2</v>
      </c>
      <c r="AC53" s="181">
        <f t="shared" si="23"/>
        <v>1.4694227494727714E-2</v>
      </c>
      <c r="AD53" s="181">
        <f t="shared" si="24"/>
        <v>8.0639332971142627E-5</v>
      </c>
      <c r="AE53" s="267"/>
      <c r="AF53" s="182">
        <f t="shared" si="12"/>
        <v>1.9935846815687334E-2</v>
      </c>
      <c r="AG53" s="182">
        <f t="shared" si="13"/>
        <v>5.5156679730092922E-3</v>
      </c>
      <c r="AH53" s="149">
        <f t="shared" si="14"/>
        <v>-5.2784162456254329</v>
      </c>
      <c r="AI53" s="149">
        <f t="shared" si="15"/>
        <v>5.3435018217652344</v>
      </c>
      <c r="AJ53" s="149">
        <f t="shared" si="16"/>
        <v>-6.885345118796489E-2</v>
      </c>
      <c r="AK53" s="149">
        <f t="shared" si="17"/>
        <v>-1.7213362796991222E-2</v>
      </c>
      <c r="AL53" s="148">
        <f t="shared" si="25"/>
        <v>0.2252081102503351</v>
      </c>
      <c r="AM53" s="273"/>
      <c r="AN53" s="278"/>
      <c r="AO53" s="279"/>
      <c r="AP53" s="279"/>
      <c r="AQ53" s="270"/>
      <c r="AR53" s="269"/>
      <c r="AS53" s="270"/>
      <c r="AT53" s="271"/>
      <c r="AU53" s="271"/>
      <c r="AV53" s="271"/>
      <c r="AW53" s="270"/>
      <c r="AX53" s="272"/>
      <c r="AY53" s="272"/>
    </row>
    <row r="54" spans="1:51" ht="21" customHeight="1" x14ac:dyDescent="0.35">
      <c r="A54" s="172"/>
      <c r="B54" s="159">
        <v>35</v>
      </c>
      <c r="C54" s="159">
        <v>241.77</v>
      </c>
      <c r="D54" s="159">
        <v>11.27</v>
      </c>
      <c r="E54" s="160">
        <v>7.1419999999999997E-2</v>
      </c>
      <c r="F54" s="160">
        <v>1.147E-4</v>
      </c>
      <c r="G54" s="159">
        <v>0.16059999999999999</v>
      </c>
      <c r="H54" s="159">
        <v>0.93</v>
      </c>
      <c r="I54" s="159">
        <v>440</v>
      </c>
      <c r="J54" s="220">
        <v>1.53</v>
      </c>
      <c r="K54" s="173"/>
      <c r="L54" s="174">
        <f t="shared" si="18"/>
        <v>1.0930730534833053</v>
      </c>
      <c r="M54" s="174">
        <f t="shared" si="19"/>
        <v>0.71442683234202975</v>
      </c>
      <c r="N54" s="174">
        <f t="shared" si="20"/>
        <v>0.34271755220546973</v>
      </c>
      <c r="O54" s="174">
        <f t="shared" si="1"/>
        <v>434.90857374874111</v>
      </c>
      <c r="P54" s="174">
        <f t="shared" si="2"/>
        <v>193.13698460812171</v>
      </c>
      <c r="Q54" s="175">
        <f t="shared" si="3"/>
        <v>193.13698460812171</v>
      </c>
      <c r="R54" s="176">
        <f t="shared" si="4"/>
        <v>35.662079185020382</v>
      </c>
      <c r="S54" s="177">
        <f t="shared" si="5"/>
        <v>563.54564674391156</v>
      </c>
      <c r="T54" s="177">
        <f t="shared" si="6"/>
        <v>104.05676323119822</v>
      </c>
      <c r="U54" s="167"/>
      <c r="V54" s="178">
        <f t="shared" si="21"/>
        <v>6.6659199940266187E-2</v>
      </c>
      <c r="W54" s="179">
        <f t="shared" si="22"/>
        <v>9.9918043126739716E-5</v>
      </c>
      <c r="X54" s="180">
        <f t="shared" si="7"/>
        <v>7.4253941480044966E-2</v>
      </c>
      <c r="Y54" s="180">
        <f t="shared" si="8"/>
        <v>2.8947409161773712E-4</v>
      </c>
      <c r="Z54" s="181">
        <f t="shared" si="9"/>
        <v>1.0495301333724492</v>
      </c>
      <c r="AA54" s="181">
        <f t="shared" si="10"/>
        <v>6.4578121576592928E-2</v>
      </c>
      <c r="AB54" s="181">
        <f t="shared" si="11"/>
        <v>-5.0776947354558129E-2</v>
      </c>
      <c r="AC54" s="181">
        <f t="shared" si="23"/>
        <v>6.9121404737637906E-2</v>
      </c>
      <c r="AD54" s="181">
        <f t="shared" si="24"/>
        <v>2.508394201455885E-4</v>
      </c>
      <c r="AE54" s="267"/>
      <c r="AF54" s="182">
        <f t="shared" si="12"/>
        <v>0.44408640405351579</v>
      </c>
      <c r="AG54" s="182">
        <f t="shared" si="13"/>
        <v>2.2739501525585102E-2</v>
      </c>
      <c r="AH54" s="149">
        <f t="shared" si="14"/>
        <v>-7.4734986117419497</v>
      </c>
      <c r="AI54" s="149">
        <f t="shared" si="15"/>
        <v>9.5611612471111105</v>
      </c>
      <c r="AJ54" s="149">
        <f t="shared" si="16"/>
        <v>-2.1715949657352742</v>
      </c>
      <c r="AK54" s="149">
        <f t="shared" si="17"/>
        <v>-0.54289874143381855</v>
      </c>
      <c r="AL54" s="148">
        <f t="shared" si="25"/>
        <v>0.19894244698749336</v>
      </c>
      <c r="AM54" s="273"/>
      <c r="AN54" s="278"/>
      <c r="AO54" s="279"/>
      <c r="AP54" s="279"/>
      <c r="AQ54" s="270"/>
      <c r="AR54" s="269"/>
      <c r="AS54" s="270"/>
      <c r="AT54" s="271"/>
      <c r="AU54" s="271"/>
      <c r="AV54" s="271"/>
      <c r="AW54" s="270"/>
      <c r="AX54" s="272"/>
      <c r="AY54" s="272"/>
    </row>
    <row r="55" spans="1:51" ht="21" customHeight="1" x14ac:dyDescent="0.35">
      <c r="A55" s="172"/>
      <c r="B55" s="159">
        <v>36</v>
      </c>
      <c r="C55" s="159">
        <v>241.58</v>
      </c>
      <c r="D55" s="159">
        <v>373.9</v>
      </c>
      <c r="E55" s="160">
        <v>1.444E-2</v>
      </c>
      <c r="F55" s="160">
        <v>7.7730000000000003E-5</v>
      </c>
      <c r="G55" s="159">
        <v>0.53820000000000001</v>
      </c>
      <c r="H55" s="159">
        <v>0.61</v>
      </c>
      <c r="I55" s="159">
        <v>191</v>
      </c>
      <c r="J55" s="220">
        <v>1.53</v>
      </c>
      <c r="K55" s="173"/>
      <c r="L55" s="174">
        <f t="shared" si="18"/>
        <v>0.72017747457263748</v>
      </c>
      <c r="M55" s="174">
        <f t="shared" si="19"/>
        <v>0.47070423174682186</v>
      </c>
      <c r="N55" s="174">
        <f t="shared" si="20"/>
        <v>9.8018349082288819E-2</v>
      </c>
      <c r="O55" s="174">
        <f t="shared" si="1"/>
        <v>124.38528498542451</v>
      </c>
      <c r="P55" s="174">
        <f t="shared" si="2"/>
        <v>2.271765403097342</v>
      </c>
      <c r="Q55" s="175">
        <f t="shared" si="3"/>
        <v>2.271765403097342</v>
      </c>
      <c r="R55" s="176">
        <f t="shared" si="4"/>
        <v>0.79454737901895467</v>
      </c>
      <c r="S55" s="177">
        <f t="shared" si="5"/>
        <v>23.176940076700731</v>
      </c>
      <c r="T55" s="177">
        <f t="shared" si="6"/>
        <v>8.1061085649576938</v>
      </c>
      <c r="U55" s="167"/>
      <c r="V55" s="178">
        <f t="shared" si="21"/>
        <v>1.4234454477347107E-2</v>
      </c>
      <c r="W55" s="179">
        <f t="shared" si="22"/>
        <v>7.5532861335787045E-5</v>
      </c>
      <c r="X55" s="180">
        <f t="shared" si="7"/>
        <v>1.4600064978311886E-2</v>
      </c>
      <c r="Y55" s="180">
        <f t="shared" si="8"/>
        <v>9.4089698720414738E-5</v>
      </c>
      <c r="Z55" s="181">
        <f t="shared" si="9"/>
        <v>1.0443294842889503</v>
      </c>
      <c r="AA55" s="181">
        <f t="shared" si="10"/>
        <v>3.6384144184339771E-3</v>
      </c>
      <c r="AB55" s="181">
        <f t="shared" si="11"/>
        <v>-4.5294184841575762E-2</v>
      </c>
      <c r="AC55" s="181">
        <f t="shared" si="23"/>
        <v>1.4389970474350382E-2</v>
      </c>
      <c r="AD55" s="181">
        <f t="shared" si="24"/>
        <v>9.1401286018910109E-5</v>
      </c>
      <c r="AE55" s="267"/>
      <c r="AF55" s="182">
        <f t="shared" si="12"/>
        <v>1.8263940170764957E-2</v>
      </c>
      <c r="AG55" s="182">
        <f t="shared" si="13"/>
        <v>5.5050522797241343E-3</v>
      </c>
      <c r="AH55" s="149">
        <f t="shared" si="14"/>
        <v>-5.2697637218188822</v>
      </c>
      <c r="AI55" s="149">
        <f t="shared" si="15"/>
        <v>5.3292875380580842</v>
      </c>
      <c r="AJ55" s="149">
        <f t="shared" si="16"/>
        <v>-6.2975700931475129E-2</v>
      </c>
      <c r="AK55" s="149">
        <f t="shared" si="17"/>
        <v>-1.5743925232868782E-2</v>
      </c>
      <c r="AL55" s="148">
        <f t="shared" si="25"/>
        <v>0.22688001689525747</v>
      </c>
      <c r="AM55" s="273"/>
      <c r="AN55" s="278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</row>
    <row r="56" spans="1:51" ht="21" customHeight="1" x14ac:dyDescent="0.35">
      <c r="A56" s="172"/>
      <c r="B56" s="159">
        <v>58</v>
      </c>
      <c r="C56" s="159">
        <v>371.91</v>
      </c>
      <c r="D56" s="159">
        <v>88.29</v>
      </c>
      <c r="E56" s="160">
        <v>4.7570000000000001E-2</v>
      </c>
      <c r="F56" s="160">
        <v>9.9660000000000005E-5</v>
      </c>
      <c r="G56" s="159">
        <v>0.20949999999999999</v>
      </c>
      <c r="H56" s="159">
        <v>0.9</v>
      </c>
      <c r="I56" s="159">
        <v>412</v>
      </c>
      <c r="J56" s="220">
        <v>2.2400000000000002</v>
      </c>
      <c r="K56" s="173"/>
      <c r="L56" s="174">
        <f t="shared" si="18"/>
        <v>1.2479622692168981</v>
      </c>
      <c r="M56" s="174">
        <f t="shared" si="19"/>
        <v>0.55712601304325804</v>
      </c>
      <c r="N56" s="174">
        <f t="shared" si="20"/>
        <v>0.25895539642851401</v>
      </c>
      <c r="O56" s="174">
        <f t="shared" si="1"/>
        <v>328.61439806778429</v>
      </c>
      <c r="P56" s="174">
        <f t="shared" si="2"/>
        <v>77.15418392249606</v>
      </c>
      <c r="Q56" s="175">
        <f t="shared" si="3"/>
        <v>77.15418392249606</v>
      </c>
      <c r="R56" s="176">
        <f t="shared" si="4"/>
        <v>14.219623946105552</v>
      </c>
      <c r="S56" s="177">
        <f t="shared" si="5"/>
        <v>297.94391229763335</v>
      </c>
      <c r="T56" s="177">
        <f t="shared" si="6"/>
        <v>54.91147951431455</v>
      </c>
      <c r="U56" s="167"/>
      <c r="V56" s="178">
        <f t="shared" si="21"/>
        <v>4.5409853279494455E-2</v>
      </c>
      <c r="W56" s="179">
        <f t="shared" si="22"/>
        <v>9.0814412423194257E-5</v>
      </c>
      <c r="X56" s="180">
        <f t="shared" si="7"/>
        <v>4.9248676215264929E-2</v>
      </c>
      <c r="Y56" s="180">
        <f t="shared" si="8"/>
        <v>1.913243072291431E-4</v>
      </c>
      <c r="Z56" s="181">
        <f t="shared" si="9"/>
        <v>1.0473485917771999</v>
      </c>
      <c r="AA56" s="181">
        <f t="shared" si="10"/>
        <v>3.8212868323418026E-2</v>
      </c>
      <c r="AB56" s="181">
        <f t="shared" si="11"/>
        <v>-4.844060251973737E-2</v>
      </c>
      <c r="AC56" s="181">
        <f t="shared" si="23"/>
        <v>4.6937086823792211E-2</v>
      </c>
      <c r="AD56" s="181">
        <f t="shared" si="24"/>
        <v>1.7378540068018825E-4</v>
      </c>
      <c r="AE56" s="267"/>
      <c r="AF56" s="182">
        <f t="shared" si="12"/>
        <v>0.23478637690908852</v>
      </c>
      <c r="AG56" s="182">
        <f t="shared" si="13"/>
        <v>1.172667947955864E-2</v>
      </c>
      <c r="AH56" s="149">
        <f t="shared" si="14"/>
        <v>-6.3903200305221928</v>
      </c>
      <c r="AI56" s="149">
        <f t="shared" si="15"/>
        <v>7.3276546783147287</v>
      </c>
      <c r="AJ56" s="149">
        <f t="shared" si="16"/>
        <v>-0.98170927302835165</v>
      </c>
      <c r="AK56" s="149">
        <f t="shared" si="17"/>
        <v>-0.24542731825708791</v>
      </c>
      <c r="AL56" s="148">
        <f t="shared" si="25"/>
        <v>1.0357580156933915E-2</v>
      </c>
      <c r="AM56" s="273"/>
      <c r="AN56" s="278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</row>
    <row r="57" spans="1:51" ht="21" customHeight="1" x14ac:dyDescent="0.35">
      <c r="A57" s="172"/>
      <c r="B57" s="159">
        <v>55</v>
      </c>
      <c r="C57" s="159">
        <v>349.19</v>
      </c>
      <c r="D57" s="159">
        <v>9.7100000000000009</v>
      </c>
      <c r="E57" s="160">
        <v>8.2519999999999996E-2</v>
      </c>
      <c r="F57" s="160">
        <v>1.4200000000000001E-4</v>
      </c>
      <c r="G57" s="159">
        <v>0.17199999999999999</v>
      </c>
      <c r="H57" s="159">
        <v>0.8</v>
      </c>
      <c r="I57" s="159">
        <v>328</v>
      </c>
      <c r="J57" s="220">
        <v>1.76</v>
      </c>
      <c r="K57" s="173"/>
      <c r="L57" s="174">
        <f t="shared" si="18"/>
        <v>1.001588728408098</v>
      </c>
      <c r="M57" s="174">
        <f t="shared" si="19"/>
        <v>0.56908450477732841</v>
      </c>
      <c r="N57" s="174">
        <f t="shared" si="20"/>
        <v>0.20651075649934822</v>
      </c>
      <c r="O57" s="174">
        <f t="shared" si="1"/>
        <v>262.06214999767292</v>
      </c>
      <c r="P57" s="174">
        <f t="shared" si="2"/>
        <v>147.65667872559845</v>
      </c>
      <c r="Q57" s="175">
        <f t="shared" si="3"/>
        <v>147.65667872559845</v>
      </c>
      <c r="R57" s="176">
        <f t="shared" si="4"/>
        <v>27.39078254492674</v>
      </c>
      <c r="S57" s="177">
        <f t="shared" si="5"/>
        <v>715.00720460565674</v>
      </c>
      <c r="T57" s="177">
        <f t="shared" si="6"/>
        <v>132.63610578567219</v>
      </c>
      <c r="U57" s="167"/>
      <c r="V57" s="178">
        <f t="shared" si="21"/>
        <v>7.6229538484277423E-2</v>
      </c>
      <c r="W57" s="179">
        <f t="shared" si="22"/>
        <v>1.211759649107939E-4</v>
      </c>
      <c r="X57" s="180">
        <f t="shared" si="7"/>
        <v>8.5909372458861474E-2</v>
      </c>
      <c r="Y57" s="180">
        <f t="shared" si="8"/>
        <v>3.471056953145117E-4</v>
      </c>
      <c r="Z57" s="181">
        <f t="shared" si="9"/>
        <v>1.0505477670254812</v>
      </c>
      <c r="AA57" s="181">
        <f t="shared" si="10"/>
        <v>7.7272377076207904E-2</v>
      </c>
      <c r="AB57" s="181">
        <f t="shared" si="11"/>
        <v>-5.1884763268535909E-2</v>
      </c>
      <c r="AC57" s="181">
        <f t="shared" si="23"/>
        <v>7.9112838177585632E-2</v>
      </c>
      <c r="AD57" s="181">
        <f t="shared" si="24"/>
        <v>2.9435714132091236E-4</v>
      </c>
      <c r="AE57" s="267"/>
      <c r="AF57" s="182">
        <f t="shared" si="12"/>
        <v>0.56344145358995801</v>
      </c>
      <c r="AG57" s="182">
        <f t="shared" si="13"/>
        <v>3.0545812276479688E-2</v>
      </c>
      <c r="AH57" s="149">
        <f t="shared" si="14"/>
        <v>-8.0911900424701741</v>
      </c>
      <c r="AI57" s="149">
        <f t="shared" si="15"/>
        <v>10.967667566136667</v>
      </c>
      <c r="AJ57" s="149">
        <f t="shared" si="16"/>
        <v>-2.982967958394998</v>
      </c>
      <c r="AK57" s="149">
        <f t="shared" si="17"/>
        <v>-0.74574198959874949</v>
      </c>
      <c r="AL57" s="148">
        <f t="shared" si="25"/>
        <v>0.31829749652393557</v>
      </c>
      <c r="AM57" s="273"/>
      <c r="AN57" s="278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</row>
    <row r="58" spans="1:51" ht="21" customHeight="1" x14ac:dyDescent="0.35">
      <c r="A58" s="172"/>
      <c r="B58" s="159">
        <v>48</v>
      </c>
      <c r="C58" s="159">
        <v>310.42</v>
      </c>
      <c r="D58" s="159">
        <v>65.67</v>
      </c>
      <c r="E58" s="160">
        <v>4.9029999999999997E-2</v>
      </c>
      <c r="F58" s="160">
        <v>9.5459999999999997E-5</v>
      </c>
      <c r="G58" s="159">
        <v>0.19470000000000001</v>
      </c>
      <c r="H58" s="159">
        <v>0.88</v>
      </c>
      <c r="I58" s="159">
        <v>398</v>
      </c>
      <c r="J58" s="220">
        <v>1.82</v>
      </c>
      <c r="K58" s="173"/>
      <c r="L58" s="174">
        <f t="shared" si="18"/>
        <v>1.1193903994183159</v>
      </c>
      <c r="M58" s="174">
        <f t="shared" si="19"/>
        <v>0.61504967001006361</v>
      </c>
      <c r="N58" s="174">
        <f t="shared" si="20"/>
        <v>0.27166522844653412</v>
      </c>
      <c r="O58" s="174">
        <f t="shared" si="1"/>
        <v>344.74317489865183</v>
      </c>
      <c r="P58" s="174">
        <f t="shared" si="2"/>
        <v>84.8337225157929</v>
      </c>
      <c r="Q58" s="175">
        <f t="shared" si="3"/>
        <v>84.8337225157929</v>
      </c>
      <c r="R58" s="176">
        <f t="shared" si="4"/>
        <v>15.628458082398662</v>
      </c>
      <c r="S58" s="177">
        <f t="shared" si="5"/>
        <v>312.27302441647896</v>
      </c>
      <c r="T58" s="177">
        <f t="shared" si="6"/>
        <v>57.528371119730792</v>
      </c>
      <c r="U58" s="167"/>
      <c r="V58" s="178">
        <f t="shared" si="21"/>
        <v>4.6738415488594226E-2</v>
      </c>
      <c r="W58" s="179">
        <f t="shared" si="22"/>
        <v>8.6745232126306021E-5</v>
      </c>
      <c r="X58" s="180">
        <f t="shared" si="7"/>
        <v>5.0777902501351099E-2</v>
      </c>
      <c r="Y58" s="180">
        <f t="shared" si="8"/>
        <v>1.9414484347198897E-4</v>
      </c>
      <c r="Z58" s="181">
        <f t="shared" si="9"/>
        <v>1.0474819413522549</v>
      </c>
      <c r="AA58" s="181">
        <f t="shared" si="10"/>
        <v>3.9791247068646375E-2</v>
      </c>
      <c r="AB58" s="181">
        <f t="shared" si="11"/>
        <v>-4.8581904816946096E-2</v>
      </c>
      <c r="AC58" s="181">
        <f t="shared" si="23"/>
        <v>4.8324105770092371E-2</v>
      </c>
      <c r="AD58" s="181">
        <f t="shared" si="24"/>
        <v>1.7583446233643363E-4</v>
      </c>
      <c r="AE58" s="267"/>
      <c r="AF58" s="182">
        <f t="shared" si="12"/>
        <v>0.24607803342512133</v>
      </c>
      <c r="AG58" s="182">
        <f t="shared" si="13"/>
        <v>1.2220729950225538E-2</v>
      </c>
      <c r="AH58" s="149">
        <f t="shared" si="14"/>
        <v>-6.4487571012265237</v>
      </c>
      <c r="AI58" s="149">
        <f t="shared" si="15"/>
        <v>7.4405803976397467</v>
      </c>
      <c r="AJ58" s="149">
        <f t="shared" si="16"/>
        <v>-1.0383320447305699</v>
      </c>
      <c r="AK58" s="149">
        <f t="shared" si="17"/>
        <v>-0.25958301118264249</v>
      </c>
      <c r="AL58" s="148">
        <f t="shared" si="25"/>
        <v>9.3407635909889541E-4</v>
      </c>
      <c r="AM58" s="273"/>
      <c r="AN58" s="278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</row>
    <row r="59" spans="1:51" ht="21" customHeight="1" x14ac:dyDescent="0.3">
      <c r="A59" s="172"/>
      <c r="B59" s="159">
        <v>51</v>
      </c>
      <c r="C59" s="159">
        <v>329.53</v>
      </c>
      <c r="D59" s="159">
        <v>128.44999999999999</v>
      </c>
      <c r="E59" s="160">
        <v>5.2209999999999999E-2</v>
      </c>
      <c r="F59" s="160">
        <v>1.03E-4</v>
      </c>
      <c r="G59" s="159">
        <v>0.19739999999999999</v>
      </c>
      <c r="H59" s="159">
        <v>0.92</v>
      </c>
      <c r="I59" s="159">
        <v>432</v>
      </c>
      <c r="J59" s="220">
        <v>1.6</v>
      </c>
      <c r="K59" s="173"/>
      <c r="L59" s="174">
        <f t="shared" si="18"/>
        <v>1.1036581811851685</v>
      </c>
      <c r="M59" s="174">
        <f t="shared" si="19"/>
        <v>0.68978636324073028</v>
      </c>
      <c r="N59" s="174">
        <f t="shared" si="20"/>
        <v>0.3265096611429934</v>
      </c>
      <c r="O59" s="174">
        <f t="shared" si="1"/>
        <v>414.34075999045865</v>
      </c>
      <c r="P59" s="174">
        <f t="shared" si="2"/>
        <v>112.4054895854203</v>
      </c>
      <c r="Q59" s="175">
        <f t="shared" si="3"/>
        <v>112.4054895854203</v>
      </c>
      <c r="R59" s="176">
        <f t="shared" si="4"/>
        <v>20.697155910948116</v>
      </c>
      <c r="S59" s="177">
        <f t="shared" si="5"/>
        <v>344.26390077380535</v>
      </c>
      <c r="T59" s="177">
        <f t="shared" si="6"/>
        <v>63.389107196689935</v>
      </c>
      <c r="U59" s="167"/>
      <c r="V59" s="178">
        <f t="shared" si="21"/>
        <v>4.9619372558709761E-2</v>
      </c>
      <c r="W59" s="179">
        <f t="shared" si="22"/>
        <v>9.3032003712617141E-5</v>
      </c>
      <c r="X59" s="180">
        <f t="shared" si="7"/>
        <v>5.4109356992667626E-2</v>
      </c>
      <c r="Y59" s="180">
        <f t="shared" si="8"/>
        <v>2.0966492079808828E-4</v>
      </c>
      <c r="Z59" s="181">
        <f t="shared" si="9"/>
        <v>1.0477724758453744</v>
      </c>
      <c r="AA59" s="181">
        <f t="shared" si="10"/>
        <v>4.3245126021343845E-2</v>
      </c>
      <c r="AB59" s="181">
        <f t="shared" si="11"/>
        <v>-4.8890447605977792E-2</v>
      </c>
      <c r="AC59" s="181">
        <f t="shared" si="23"/>
        <v>5.1331824951292994E-2</v>
      </c>
      <c r="AD59" s="181">
        <f t="shared" si="24"/>
        <v>1.8869241266647598E-4</v>
      </c>
      <c r="AE59" s="267"/>
      <c r="AF59" s="182">
        <f t="shared" si="12"/>
        <v>0.27128754986115472</v>
      </c>
      <c r="AG59" s="182">
        <f t="shared" si="13"/>
        <v>1.3376572810163143E-2</v>
      </c>
      <c r="AH59" s="149">
        <f t="shared" si="14"/>
        <v>-6.5792224844324982</v>
      </c>
      <c r="AI59" s="149">
        <f t="shared" si="15"/>
        <v>7.6958119424046503</v>
      </c>
      <c r="AJ59" s="149">
        <f t="shared" si="16"/>
        <v>-1.167862804895909</v>
      </c>
      <c r="AK59" s="149">
        <f t="shared" si="17"/>
        <v>-0.29196570122397725</v>
      </c>
      <c r="AL59" s="148">
        <f t="shared" si="25"/>
        <v>2.6143592795132287E-2</v>
      </c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</row>
    <row r="60" spans="1:51" ht="21" customHeight="1" x14ac:dyDescent="0.3">
      <c r="A60" s="172"/>
      <c r="B60" s="159">
        <v>53</v>
      </c>
      <c r="C60" s="159">
        <v>339.35</v>
      </c>
      <c r="D60" s="159">
        <v>83.17</v>
      </c>
      <c r="E60" s="160">
        <v>1.362E-2</v>
      </c>
      <c r="F60" s="160">
        <v>5.329E-5</v>
      </c>
      <c r="G60" s="159">
        <v>0.39129999999999998</v>
      </c>
      <c r="H60" s="159">
        <v>0.86</v>
      </c>
      <c r="I60" s="159">
        <v>376</v>
      </c>
      <c r="J60" s="220">
        <v>1.78</v>
      </c>
      <c r="K60" s="173"/>
      <c r="L60" s="174">
        <f t="shared" si="18"/>
        <v>1.0776098426596123</v>
      </c>
      <c r="M60" s="174">
        <f t="shared" si="19"/>
        <v>0.6053987880110181</v>
      </c>
      <c r="N60" s="174">
        <f t="shared" si="20"/>
        <v>0.25210589312835885</v>
      </c>
      <c r="O60" s="174">
        <f t="shared" si="1"/>
        <v>319.92237837988739</v>
      </c>
      <c r="P60" s="174">
        <f t="shared" si="2"/>
        <v>4.3883457044694207</v>
      </c>
      <c r="Q60" s="175">
        <f t="shared" si="3"/>
        <v>4.3883457044694207</v>
      </c>
      <c r="R60" s="176">
        <f t="shared" si="4"/>
        <v>1.9113063871090104</v>
      </c>
      <c r="S60" s="177">
        <f t="shared" si="5"/>
        <v>17.406755748605644</v>
      </c>
      <c r="T60" s="177">
        <f t="shared" si="6"/>
        <v>7.5813633842183741</v>
      </c>
      <c r="U60" s="167"/>
      <c r="V60" s="178">
        <f t="shared" si="21"/>
        <v>1.3436988220437641E-2</v>
      </c>
      <c r="W60" s="179">
        <f t="shared" si="22"/>
        <v>5.1867507446314078E-5</v>
      </c>
      <c r="X60" s="180">
        <f t="shared" si="7"/>
        <v>1.3743745371441853E-2</v>
      </c>
      <c r="Y60" s="180">
        <f t="shared" si="8"/>
        <v>7.2580769590735228E-5</v>
      </c>
      <c r="Z60" s="181">
        <f t="shared" si="9"/>
        <v>1.0442549240419912</v>
      </c>
      <c r="AA60" s="181">
        <f t="shared" si="10"/>
        <v>2.8127381499845712E-3</v>
      </c>
      <c r="AB60" s="181">
        <f t="shared" si="11"/>
        <v>-4.5217760776307618E-2</v>
      </c>
      <c r="AC60" s="181">
        <f t="shared" si="23"/>
        <v>1.3557415702136894E-2</v>
      </c>
      <c r="AD60" s="181">
        <f t="shared" si="24"/>
        <v>7.062609486106285E-5</v>
      </c>
      <c r="AE60" s="267"/>
      <c r="AF60" s="182">
        <f t="shared" si="12"/>
        <v>1.371690760331414E-2</v>
      </c>
      <c r="AG60" s="182">
        <f t="shared" si="13"/>
        <v>5.4562257767567643E-3</v>
      </c>
      <c r="AH60" s="149">
        <f t="shared" si="14"/>
        <v>-5.2462317215971481</v>
      </c>
      <c r="AI60" s="149">
        <f t="shared" si="15"/>
        <v>5.2907251474400558</v>
      </c>
      <c r="AJ60" s="149">
        <f t="shared" si="16"/>
        <v>-4.7085921379934781E-2</v>
      </c>
      <c r="AK60" s="149">
        <f t="shared" si="17"/>
        <v>-1.1771480344983695E-2</v>
      </c>
      <c r="AL60" s="148">
        <f t="shared" si="25"/>
        <v>0.23142704946270828</v>
      </c>
    </row>
    <row r="61" spans="1:51" ht="21" customHeight="1" x14ac:dyDescent="0.3">
      <c r="A61" s="172"/>
      <c r="B61" s="159">
        <v>42</v>
      </c>
      <c r="C61" s="159">
        <v>265.10000000000002</v>
      </c>
      <c r="D61" s="159">
        <v>316.97000000000003</v>
      </c>
      <c r="E61" s="160">
        <v>1.521E-2</v>
      </c>
      <c r="F61" s="160">
        <v>8.4159999999999994E-5</v>
      </c>
      <c r="G61" s="159">
        <v>0.5534</v>
      </c>
      <c r="H61" s="159">
        <v>0.59</v>
      </c>
      <c r="I61" s="159">
        <v>182</v>
      </c>
      <c r="J61" s="220">
        <v>1.77</v>
      </c>
      <c r="K61" s="173"/>
      <c r="L61" s="174">
        <f t="shared" si="18"/>
        <v>0.74790804384215681</v>
      </c>
      <c r="M61" s="174">
        <f t="shared" si="19"/>
        <v>0.42254691742494732</v>
      </c>
      <c r="N61" s="174">
        <f t="shared" si="20"/>
        <v>8.5127662846806798E-2</v>
      </c>
      <c r="O61" s="174">
        <f t="shared" si="1"/>
        <v>108.02700415259783</v>
      </c>
      <c r="P61" s="174">
        <f t="shared" si="2"/>
        <v>2.4375465991003691</v>
      </c>
      <c r="Q61" s="175">
        <f t="shared" si="3"/>
        <v>2.4375465991003691</v>
      </c>
      <c r="R61" s="176">
        <f t="shared" si="4"/>
        <v>0.73920782921238359</v>
      </c>
      <c r="S61" s="177">
        <f t="shared" si="5"/>
        <v>28.634012935218312</v>
      </c>
      <c r="T61" s="177">
        <f t="shared" si="6"/>
        <v>8.6835207791695161</v>
      </c>
      <c r="U61" s="167"/>
      <c r="V61" s="178">
        <f t="shared" si="21"/>
        <v>1.4982121925512949E-2</v>
      </c>
      <c r="W61" s="179">
        <f t="shared" si="22"/>
        <v>8.1657100125834891E-5</v>
      </c>
      <c r="X61" s="180">
        <f t="shared" si="7"/>
        <v>1.5404225638909343E-2</v>
      </c>
      <c r="Y61" s="180">
        <f t="shared" si="8"/>
        <v>1.0047777336655224E-4</v>
      </c>
      <c r="Z61" s="181">
        <f t="shared" si="9"/>
        <v>1.044399505449545</v>
      </c>
      <c r="AA61" s="181">
        <f t="shared" si="10"/>
        <v>4.4150635756499013E-3</v>
      </c>
      <c r="AB61" s="181">
        <f t="shared" si="11"/>
        <v>-4.5366012623595527E-2</v>
      </c>
      <c r="AC61" s="181">
        <f t="shared" si="23"/>
        <v>1.5170535290235519E-2</v>
      </c>
      <c r="AD61" s="181">
        <f t="shared" si="24"/>
        <v>9.7452294624387144E-5</v>
      </c>
      <c r="AE61" s="267"/>
      <c r="AF61" s="182">
        <f t="shared" si="12"/>
        <v>2.2564233991503792E-2</v>
      </c>
      <c r="AG61" s="182">
        <f t="shared" si="13"/>
        <v>5.5497744640424463E-3</v>
      </c>
      <c r="AH61" s="149">
        <f t="shared" si="14"/>
        <v>-5.2920187889735626</v>
      </c>
      <c r="AI61" s="149">
        <f t="shared" si="15"/>
        <v>5.3658862245912928</v>
      </c>
      <c r="AJ61" s="149">
        <f t="shared" si="16"/>
        <v>-7.8132075842123588E-2</v>
      </c>
      <c r="AK61" s="149">
        <f t="shared" si="17"/>
        <v>-1.9533018960530897E-2</v>
      </c>
      <c r="AL61" s="148">
        <f t="shared" si="25"/>
        <v>0.22257972307451865</v>
      </c>
    </row>
    <row r="62" spans="1:51" ht="21" customHeight="1" x14ac:dyDescent="0.3">
      <c r="A62" s="172"/>
      <c r="B62" s="159">
        <v>31</v>
      </c>
      <c r="C62" s="159">
        <v>219.96</v>
      </c>
      <c r="D62" s="159">
        <v>345.79</v>
      </c>
      <c r="E62" s="160">
        <v>5.2359999999999997E-2</v>
      </c>
      <c r="F62" s="160">
        <v>1.13E-4</v>
      </c>
      <c r="G62" s="159">
        <v>0.21590000000000001</v>
      </c>
      <c r="H62" s="159">
        <v>0.83</v>
      </c>
      <c r="I62" s="159">
        <v>358</v>
      </c>
      <c r="J62" s="220">
        <v>1.73</v>
      </c>
      <c r="K62" s="173"/>
      <c r="L62" s="174">
        <f t="shared" si="18"/>
        <v>1.0386859877148706</v>
      </c>
      <c r="M62" s="174">
        <f t="shared" si="19"/>
        <v>0.60039652469067661</v>
      </c>
      <c r="N62" s="174">
        <f t="shared" si="20"/>
        <v>0.23740898911067815</v>
      </c>
      <c r="O62" s="174">
        <f t="shared" si="1"/>
        <v>301.27200718145059</v>
      </c>
      <c r="P62" s="174">
        <f t="shared" si="2"/>
        <v>82.096033864675306</v>
      </c>
      <c r="Q62" s="175">
        <f t="shared" si="3"/>
        <v>82.096033864675306</v>
      </c>
      <c r="R62" s="176">
        <f t="shared" si="4"/>
        <v>15.116486024857851</v>
      </c>
      <c r="S62" s="177">
        <f t="shared" si="5"/>
        <v>345.80002287277671</v>
      </c>
      <c r="T62" s="177">
        <f t="shared" si="6"/>
        <v>63.672761850692467</v>
      </c>
      <c r="U62" s="167"/>
      <c r="V62" s="178">
        <f t="shared" si="21"/>
        <v>4.9754836747880955E-2</v>
      </c>
      <c r="W62" s="179">
        <f t="shared" si="22"/>
        <v>1.0203514334209725E-4</v>
      </c>
      <c r="X62" s="180">
        <f t="shared" si="7"/>
        <v>5.4266523892099246E-2</v>
      </c>
      <c r="Y62" s="180">
        <f t="shared" si="8"/>
        <v>2.1577560527650662E-4</v>
      </c>
      <c r="Z62" s="181">
        <f t="shared" si="9"/>
        <v>1.0477861832878084</v>
      </c>
      <c r="AA62" s="181">
        <f t="shared" si="10"/>
        <v>4.3408588066145649E-2</v>
      </c>
      <c r="AB62" s="181">
        <f t="shared" si="11"/>
        <v>-4.8905027749579333E-2</v>
      </c>
      <c r="AC62" s="181">
        <f t="shared" si="23"/>
        <v>5.1473249564787708E-2</v>
      </c>
      <c r="AD62" s="181">
        <f t="shared" si="24"/>
        <v>1.9413395859381674E-4</v>
      </c>
      <c r="AE62" s="267"/>
      <c r="AF62" s="182">
        <f t="shared" si="12"/>
        <v>0.27249804796909116</v>
      </c>
      <c r="AG62" s="182">
        <f t="shared" si="13"/>
        <v>1.3438641368048385E-2</v>
      </c>
      <c r="AH62" s="149">
        <f t="shared" si="14"/>
        <v>-6.5854871067596568</v>
      </c>
      <c r="AI62" s="149">
        <f t="shared" si="15"/>
        <v>7.7081758213774991</v>
      </c>
      <c r="AJ62" s="149">
        <f t="shared" si="16"/>
        <v>-1.1741908456840002</v>
      </c>
      <c r="AK62" s="149">
        <f t="shared" si="17"/>
        <v>-0.29354771142100006</v>
      </c>
      <c r="AL62" s="148">
        <f t="shared" si="25"/>
        <v>2.7354090903068728E-2</v>
      </c>
    </row>
    <row r="63" spans="1:51" ht="21" customHeight="1" x14ac:dyDescent="0.3">
      <c r="A63" s="172"/>
      <c r="B63" s="159">
        <v>23</v>
      </c>
      <c r="C63" s="159">
        <v>177.48</v>
      </c>
      <c r="D63" s="159">
        <v>348.44</v>
      </c>
      <c r="E63" s="160">
        <v>5.0139999999999997E-2</v>
      </c>
      <c r="F63" s="160">
        <v>1.121E-4</v>
      </c>
      <c r="G63" s="159">
        <v>0.22359999999999999</v>
      </c>
      <c r="H63" s="159">
        <v>0.86</v>
      </c>
      <c r="I63" s="159">
        <v>383</v>
      </c>
      <c r="J63" s="220">
        <v>1.68</v>
      </c>
      <c r="K63" s="173"/>
      <c r="L63" s="174">
        <f t="shared" si="18"/>
        <v>1.0609401423734151</v>
      </c>
      <c r="M63" s="174">
        <f t="shared" si="19"/>
        <v>0.63151198950798515</v>
      </c>
      <c r="N63" s="174">
        <f t="shared" si="20"/>
        <v>0.26637581557888673</v>
      </c>
      <c r="O63" s="174">
        <f t="shared" si="1"/>
        <v>338.03090996960725</v>
      </c>
      <c r="P63" s="174">
        <f t="shared" si="2"/>
        <v>86.123665165978849</v>
      </c>
      <c r="Q63" s="175">
        <f t="shared" si="3"/>
        <v>86.123665165978849</v>
      </c>
      <c r="R63" s="176">
        <f t="shared" si="4"/>
        <v>15.863115049099573</v>
      </c>
      <c r="S63" s="177">
        <f t="shared" si="5"/>
        <v>323.31638282858108</v>
      </c>
      <c r="T63" s="177">
        <f t="shared" si="6"/>
        <v>59.551633899743948</v>
      </c>
      <c r="U63" s="167"/>
      <c r="V63" s="178">
        <f t="shared" si="21"/>
        <v>4.7746014817072004E-2</v>
      </c>
      <c r="W63" s="179">
        <f t="shared" si="22"/>
        <v>1.0165089582246768E-4</v>
      </c>
      <c r="X63" s="180">
        <f t="shared" si="7"/>
        <v>5.1940663731475781E-2</v>
      </c>
      <c r="Y63" s="180">
        <f t="shared" si="8"/>
        <v>2.0748497986095338E-4</v>
      </c>
      <c r="Z63" s="181">
        <f t="shared" si="9"/>
        <v>1.0475833406055024</v>
      </c>
      <c r="AA63" s="181">
        <f t="shared" si="10"/>
        <v>4.0994347958060895E-2</v>
      </c>
      <c r="AB63" s="181">
        <f t="shared" si="11"/>
        <v>-4.8689483040519989E-2</v>
      </c>
      <c r="AC63" s="181">
        <f t="shared" si="23"/>
        <v>4.9376039469023171E-2</v>
      </c>
      <c r="AD63" s="181">
        <f t="shared" si="24"/>
        <v>1.8750125373654921E-4</v>
      </c>
      <c r="AE63" s="267"/>
      <c r="AF63" s="182">
        <f t="shared" si="12"/>
        <v>0.25478044352134049</v>
      </c>
      <c r="AG63" s="182">
        <f t="shared" si="13"/>
        <v>1.2620143038783877E-2</v>
      </c>
      <c r="AH63" s="149">
        <f t="shared" si="14"/>
        <v>-6.4937941915213582</v>
      </c>
      <c r="AI63" s="149">
        <f t="shared" si="15"/>
        <v>7.5282007483849966</v>
      </c>
      <c r="AJ63" s="149">
        <f t="shared" si="16"/>
        <v>-1.0825600606891723</v>
      </c>
      <c r="AK63" s="149">
        <f t="shared" si="17"/>
        <v>-0.27064001517229308</v>
      </c>
      <c r="AL63" s="148">
        <f t="shared" si="25"/>
        <v>9.6364864553180607E-3</v>
      </c>
    </row>
    <row r="64" spans="1:51" ht="21" customHeight="1" x14ac:dyDescent="0.3">
      <c r="A64" s="172"/>
      <c r="B64" s="159">
        <v>12</v>
      </c>
      <c r="C64" s="159">
        <v>114.25</v>
      </c>
      <c r="D64" s="159">
        <v>504.01</v>
      </c>
      <c r="E64" s="160">
        <v>7.1400000000000005E-2</v>
      </c>
      <c r="F64" s="160">
        <v>1.774E-4</v>
      </c>
      <c r="G64" s="159">
        <v>0.24840000000000001</v>
      </c>
      <c r="H64" s="159">
        <v>0.57999999999999996</v>
      </c>
      <c r="I64" s="159">
        <v>171</v>
      </c>
      <c r="J64" s="220">
        <v>1.26</v>
      </c>
      <c r="K64" s="173"/>
      <c r="L64" s="174">
        <f t="shared" si="18"/>
        <v>0.62948845381709706</v>
      </c>
      <c r="M64" s="174">
        <f t="shared" si="19"/>
        <v>0.49959401096595013</v>
      </c>
      <c r="N64" s="174">
        <f t="shared" si="20"/>
        <v>9.0753857339826882E-2</v>
      </c>
      <c r="O64" s="174">
        <f t="shared" si="1"/>
        <v>115.16664496424032</v>
      </c>
      <c r="P64" s="174">
        <f t="shared" si="2"/>
        <v>51.120830693042812</v>
      </c>
      <c r="Q64" s="175">
        <f t="shared" si="3"/>
        <v>51.120830693042812</v>
      </c>
      <c r="R64" s="176">
        <f t="shared" si="4"/>
        <v>9.4405181118869823</v>
      </c>
      <c r="S64" s="177">
        <f t="shared" si="5"/>
        <v>563.29099601377152</v>
      </c>
      <c r="T64" s="177">
        <f t="shared" si="6"/>
        <v>104.02332626520833</v>
      </c>
      <c r="U64" s="167"/>
      <c r="V64" s="178">
        <f t="shared" si="21"/>
        <v>6.6641777114056389E-2</v>
      </c>
      <c r="W64" s="179">
        <f t="shared" si="22"/>
        <v>1.5454335331339036E-4</v>
      </c>
      <c r="X64" s="180">
        <f t="shared" si="7"/>
        <v>7.4232950895699937E-2</v>
      </c>
      <c r="Y64" s="180">
        <f t="shared" si="8"/>
        <v>3.2236939749049465E-4</v>
      </c>
      <c r="Z64" s="181">
        <f t="shared" si="9"/>
        <v>1.0495283011330094</v>
      </c>
      <c r="AA64" s="181">
        <f t="shared" si="10"/>
        <v>6.4555492398016681E-2</v>
      </c>
      <c r="AB64" s="181">
        <f t="shared" si="11"/>
        <v>-5.0774963042763646E-2</v>
      </c>
      <c r="AC64" s="181">
        <f t="shared" si="23"/>
        <v>6.9103215307074861E-2</v>
      </c>
      <c r="AD64" s="181">
        <f t="shared" si="24"/>
        <v>2.7935526959685836E-4</v>
      </c>
      <c r="AE64" s="267"/>
      <c r="AF64" s="182">
        <f t="shared" si="12"/>
        <v>0.44388573365939438</v>
      </c>
      <c r="AG64" s="182">
        <f t="shared" si="13"/>
        <v>2.2767794883116522E-2</v>
      </c>
      <c r="AH64" s="149">
        <f t="shared" si="14"/>
        <v>-7.4724600936119598</v>
      </c>
      <c r="AI64" s="149">
        <f t="shared" si="15"/>
        <v>9.5588777431337704</v>
      </c>
      <c r="AJ64" s="149">
        <f t="shared" si="16"/>
        <v>-2.170312053183435</v>
      </c>
      <c r="AK64" s="149">
        <f t="shared" si="17"/>
        <v>-0.54257801329585875</v>
      </c>
      <c r="AL64" s="148">
        <f t="shared" si="25"/>
        <v>0.19874177659337194</v>
      </c>
    </row>
    <row r="65" spans="1:38" ht="21" customHeight="1" x14ac:dyDescent="0.3">
      <c r="A65" s="172"/>
      <c r="B65" s="159">
        <v>38</v>
      </c>
      <c r="C65" s="159">
        <v>247.34</v>
      </c>
      <c r="D65" s="159">
        <v>50.62</v>
      </c>
      <c r="E65" s="160">
        <v>7.2279999999999997E-2</v>
      </c>
      <c r="F65" s="160">
        <v>1.618E-4</v>
      </c>
      <c r="G65" s="159">
        <v>0.22389999999999999</v>
      </c>
      <c r="H65" s="159">
        <v>0.69</v>
      </c>
      <c r="I65" s="159">
        <v>242</v>
      </c>
      <c r="J65" s="220">
        <v>1.61</v>
      </c>
      <c r="K65" s="173"/>
      <c r="L65" s="174">
        <f t="shared" si="18"/>
        <v>0.82821772391031112</v>
      </c>
      <c r="M65" s="174">
        <f t="shared" si="19"/>
        <v>0.51442094652814352</v>
      </c>
      <c r="N65" s="174">
        <f t="shared" si="20"/>
        <v>0.13649707127127306</v>
      </c>
      <c r="O65" s="174">
        <f t="shared" si="1"/>
        <v>173.21478344324552</v>
      </c>
      <c r="P65" s="174">
        <f t="shared" si="2"/>
        <v>78.424923932400489</v>
      </c>
      <c r="Q65" s="175">
        <f t="shared" si="3"/>
        <v>78.424923932400489</v>
      </c>
      <c r="R65" s="176">
        <f t="shared" si="4"/>
        <v>14.48646897716862</v>
      </c>
      <c r="S65" s="177">
        <f t="shared" si="5"/>
        <v>574.55389483441365</v>
      </c>
      <c r="T65" s="177">
        <f t="shared" si="6"/>
        <v>106.13025497359089</v>
      </c>
      <c r="U65" s="167"/>
      <c r="V65" s="178">
        <f t="shared" si="21"/>
        <v>6.7407766628119523E-2</v>
      </c>
      <c r="W65" s="179">
        <f t="shared" si="22"/>
        <v>1.4072203469203033E-4</v>
      </c>
      <c r="X65" s="180">
        <f t="shared" si="7"/>
        <v>7.5156571274168513E-2</v>
      </c>
      <c r="Y65" s="180">
        <f t="shared" si="8"/>
        <v>3.1651403429920242E-4</v>
      </c>
      <c r="Z65" s="181">
        <f t="shared" si="9"/>
        <v>1.0496089242075104</v>
      </c>
      <c r="AA65" s="181">
        <f t="shared" si="10"/>
        <v>6.555200363543065E-2</v>
      </c>
      <c r="AB65" s="181">
        <f t="shared" si="11"/>
        <v>-5.0862312721177146E-2</v>
      </c>
      <c r="AC65" s="181">
        <f t="shared" si="23"/>
        <v>6.9902908359756794E-2</v>
      </c>
      <c r="AD65" s="181">
        <f t="shared" si="24"/>
        <v>2.7381015066124567E-4</v>
      </c>
      <c r="AE65" s="267"/>
      <c r="AF65" s="182">
        <f t="shared" si="12"/>
        <v>0.4527611464416183</v>
      </c>
      <c r="AG65" s="182">
        <f t="shared" si="13"/>
        <v>2.3299524888973369E-2</v>
      </c>
      <c r="AH65" s="149">
        <f t="shared" si="14"/>
        <v>-7.5183925149133435</v>
      </c>
      <c r="AI65" s="149">
        <f t="shared" si="15"/>
        <v>9.66013512060624</v>
      </c>
      <c r="AJ65" s="149">
        <f t="shared" si="16"/>
        <v>-2.22731446237036</v>
      </c>
      <c r="AK65" s="149">
        <f t="shared" si="17"/>
        <v>-0.55682861559259</v>
      </c>
      <c r="AL65" s="148">
        <f t="shared" si="25"/>
        <v>0.20761718937559587</v>
      </c>
    </row>
    <row r="66" spans="1:38" ht="21" customHeight="1" x14ac:dyDescent="0.3">
      <c r="A66" s="172"/>
      <c r="B66" s="159">
        <v>10</v>
      </c>
      <c r="C66" s="159">
        <v>99.38</v>
      </c>
      <c r="D66" s="159">
        <v>491.04</v>
      </c>
      <c r="E66" s="160">
        <v>7.7049999999999993E-2</v>
      </c>
      <c r="F66" s="160">
        <v>1.705E-4</v>
      </c>
      <c r="G66" s="159">
        <v>0.2213</v>
      </c>
      <c r="H66" s="159">
        <v>0.7</v>
      </c>
      <c r="I66" s="159">
        <v>250</v>
      </c>
      <c r="J66" s="220">
        <v>2.25</v>
      </c>
      <c r="K66" s="173"/>
      <c r="L66" s="174">
        <f t="shared" si="18"/>
        <v>0.97406484160989726</v>
      </c>
      <c r="M66" s="174">
        <f t="shared" si="19"/>
        <v>0.43291770738217655</v>
      </c>
      <c r="N66" s="174">
        <f t="shared" si="20"/>
        <v>0.12213848281403805</v>
      </c>
      <c r="O66" s="174">
        <f t="shared" si="1"/>
        <v>154.99373469101428</v>
      </c>
      <c r="P66" s="174">
        <f t="shared" si="2"/>
        <v>77.894013389597816</v>
      </c>
      <c r="Q66" s="175">
        <f t="shared" si="3"/>
        <v>77.894013389597816</v>
      </c>
      <c r="R66" s="176">
        <f t="shared" si="4"/>
        <v>14.41459905424796</v>
      </c>
      <c r="S66" s="177">
        <f t="shared" si="5"/>
        <v>637.75160453069782</v>
      </c>
      <c r="T66" s="177">
        <f t="shared" si="6"/>
        <v>118.01848788473086</v>
      </c>
      <c r="U66" s="167"/>
      <c r="V66" s="178">
        <f t="shared" si="21"/>
        <v>7.1537997307460188E-2</v>
      </c>
      <c r="W66" s="179">
        <f t="shared" si="22"/>
        <v>1.4697810822067499E-4</v>
      </c>
      <c r="X66" s="180">
        <f t="shared" si="7"/>
        <v>8.0164248397437868E-2</v>
      </c>
      <c r="Y66" s="180">
        <f t="shared" si="8"/>
        <v>3.3956694919453566E-4</v>
      </c>
      <c r="Z66" s="181">
        <f t="shared" si="9"/>
        <v>1.0500460996152885</v>
      </c>
      <c r="AA66" s="181">
        <f t="shared" si="10"/>
        <v>7.098302559477275E-2</v>
      </c>
      <c r="AB66" s="181">
        <f t="shared" si="11"/>
        <v>-5.1337211354704079E-2</v>
      </c>
      <c r="AC66" s="181">
        <f t="shared" si="23"/>
        <v>7.4214869188988439E-2</v>
      </c>
      <c r="AD66" s="181">
        <f t="shared" si="24"/>
        <v>2.910353985012572E-4</v>
      </c>
      <c r="AE66" s="267"/>
      <c r="AF66" s="182">
        <f t="shared" si="12"/>
        <v>0.50256233611560108</v>
      </c>
      <c r="AG66" s="182">
        <f t="shared" si="13"/>
        <v>2.6462656622151772E-2</v>
      </c>
      <c r="AH66" s="149">
        <f t="shared" si="14"/>
        <v>-7.7761257924006753</v>
      </c>
      <c r="AI66" s="149">
        <f t="shared" si="15"/>
        <v>10.238199670612637</v>
      </c>
      <c r="AJ66" s="149">
        <f t="shared" si="16"/>
        <v>-2.5570581597378084</v>
      </c>
      <c r="AK66" s="149">
        <f t="shared" si="17"/>
        <v>-0.63926453993445209</v>
      </c>
      <c r="AL66" s="148">
        <f t="shared" si="25"/>
        <v>0.25741837904957865</v>
      </c>
    </row>
    <row r="67" spans="1:38" ht="21" customHeight="1" x14ac:dyDescent="0.3">
      <c r="A67" s="172"/>
      <c r="B67" s="159">
        <v>16</v>
      </c>
      <c r="C67" s="159">
        <v>132.24</v>
      </c>
      <c r="D67" s="159">
        <v>204.14</v>
      </c>
      <c r="E67" s="160">
        <v>6.8229999999999999E-2</v>
      </c>
      <c r="F67" s="160">
        <v>1.34E-4</v>
      </c>
      <c r="G67" s="159">
        <v>0.19639999999999999</v>
      </c>
      <c r="H67" s="159">
        <v>0.83</v>
      </c>
      <c r="I67" s="159">
        <v>356</v>
      </c>
      <c r="J67" s="220">
        <v>1.75</v>
      </c>
      <c r="K67" s="173"/>
      <c r="L67" s="174">
        <f t="shared" si="18"/>
        <v>1.040908545529694</v>
      </c>
      <c r="M67" s="174">
        <f t="shared" si="19"/>
        <v>0.59480488315982516</v>
      </c>
      <c r="N67" s="174">
        <f t="shared" si="20"/>
        <v>0.23414297521047256</v>
      </c>
      <c r="O67" s="174">
        <f t="shared" si="1"/>
        <v>297.1274355420897</v>
      </c>
      <c r="P67" s="174">
        <f t="shared" si="2"/>
        <v>122.61805359612225</v>
      </c>
      <c r="Q67" s="175">
        <f t="shared" si="3"/>
        <v>122.61805359612225</v>
      </c>
      <c r="R67" s="176">
        <f t="shared" si="4"/>
        <v>22.619907948599003</v>
      </c>
      <c r="S67" s="177">
        <f t="shared" si="5"/>
        <v>523.68879948629728</v>
      </c>
      <c r="T67" s="177">
        <f t="shared" si="6"/>
        <v>96.607245757707773</v>
      </c>
      <c r="U67" s="167"/>
      <c r="V67" s="178">
        <f t="shared" si="21"/>
        <v>6.3872012581560153E-2</v>
      </c>
      <c r="W67" s="179">
        <f t="shared" si="22"/>
        <v>1.1742897158296522E-4</v>
      </c>
      <c r="X67" s="180">
        <f t="shared" si="7"/>
        <v>7.0906406416603576E-2</v>
      </c>
      <c r="Y67" s="180">
        <f t="shared" si="8"/>
        <v>2.8602568027799173E-4</v>
      </c>
      <c r="Z67" s="181">
        <f t="shared" si="9"/>
        <v>1.0492379518192216</v>
      </c>
      <c r="AA67" s="181">
        <f t="shared" si="10"/>
        <v>6.0979819159545992E-2</v>
      </c>
      <c r="AB67" s="181">
        <f t="shared" si="11"/>
        <v>-5.046098337738144E-2</v>
      </c>
      <c r="AC67" s="181">
        <f t="shared" si="23"/>
        <v>6.6211581135148787E-2</v>
      </c>
      <c r="AD67" s="181">
        <f t="shared" si="24"/>
        <v>2.4940318420097959E-4</v>
      </c>
      <c r="AE67" s="267"/>
      <c r="AF67" s="182">
        <f t="shared" si="12"/>
        <v>0.41267832898841394</v>
      </c>
      <c r="AG67" s="182">
        <f t="shared" si="13"/>
        <v>2.0873802450906222E-2</v>
      </c>
      <c r="AH67" s="149">
        <f t="shared" si="14"/>
        <v>-7.3109541789866475</v>
      </c>
      <c r="AI67" s="149">
        <f t="shared" si="15"/>
        <v>9.2070760097880164</v>
      </c>
      <c r="AJ67" s="149">
        <f t="shared" si="16"/>
        <v>-1.974118034980177</v>
      </c>
      <c r="AK67" s="149">
        <f t="shared" si="17"/>
        <v>-0.49352950874504425</v>
      </c>
      <c r="AL67" s="148">
        <f t="shared" si="25"/>
        <v>0.16753437192239151</v>
      </c>
    </row>
    <row r="68" spans="1:38" ht="21" customHeight="1" x14ac:dyDescent="0.3">
      <c r="A68" s="172"/>
      <c r="B68" s="159">
        <v>8</v>
      </c>
      <c r="C68" s="159">
        <v>46.76</v>
      </c>
      <c r="D68" s="159">
        <v>315.64</v>
      </c>
      <c r="E68" s="160">
        <v>5.3350000000000002E-2</v>
      </c>
      <c r="F68" s="160">
        <v>1.271E-4</v>
      </c>
      <c r="G68" s="159">
        <v>0.2382</v>
      </c>
      <c r="H68" s="159">
        <v>0.78</v>
      </c>
      <c r="I68" s="159">
        <v>315</v>
      </c>
      <c r="J68" s="220">
        <v>1.68</v>
      </c>
      <c r="K68" s="173"/>
      <c r="L68" s="174">
        <f t="shared" si="18"/>
        <v>0.96215883444631822</v>
      </c>
      <c r="M68" s="174">
        <f t="shared" si="19"/>
        <v>0.57271359193233229</v>
      </c>
      <c r="N68" s="174">
        <f t="shared" si="20"/>
        <v>0.19868380205872688</v>
      </c>
      <c r="O68" s="174">
        <f t="shared" si="1"/>
        <v>252.12974481252439</v>
      </c>
      <c r="P68" s="174">
        <f t="shared" si="2"/>
        <v>70.731659646993691</v>
      </c>
      <c r="Q68" s="175">
        <f t="shared" si="3"/>
        <v>70.731659646993691</v>
      </c>
      <c r="R68" s="176">
        <f t="shared" si="4"/>
        <v>13.023434743415294</v>
      </c>
      <c r="S68" s="177">
        <f t="shared" si="5"/>
        <v>356.00113805999575</v>
      </c>
      <c r="T68" s="177">
        <f t="shared" si="6"/>
        <v>65.548548036975021</v>
      </c>
      <c r="U68" s="167"/>
      <c r="V68" s="178">
        <f t="shared" si="21"/>
        <v>5.0647932785873644E-2</v>
      </c>
      <c r="W68" s="179">
        <f t="shared" si="22"/>
        <v>1.1455133407026671E-4</v>
      </c>
      <c r="X68" s="180">
        <f t="shared" si="7"/>
        <v>5.5303876998141453E-2</v>
      </c>
      <c r="Y68" s="180">
        <f t="shared" si="8"/>
        <v>2.2761209911094227E-4</v>
      </c>
      <c r="Z68" s="181">
        <f t="shared" si="9"/>
        <v>1.0478766591545312</v>
      </c>
      <c r="AA68" s="181">
        <f t="shared" si="10"/>
        <v>4.4488665412000777E-2</v>
      </c>
      <c r="AB68" s="181">
        <f t="shared" si="11"/>
        <v>-4.9001316003521568E-2</v>
      </c>
      <c r="AC68" s="181">
        <f t="shared" si="23"/>
        <v>5.2405641828452081E-2</v>
      </c>
      <c r="AD68" s="181">
        <f t="shared" si="24"/>
        <v>2.043808856105358E-4</v>
      </c>
      <c r="AE68" s="267"/>
      <c r="AF68" s="182">
        <f t="shared" si="12"/>
        <v>0.28053675182032761</v>
      </c>
      <c r="AG68" s="182">
        <f t="shared" si="13"/>
        <v>1.382753915112858E-2</v>
      </c>
      <c r="AH68" s="149">
        <f t="shared" si="14"/>
        <v>-6.6270893556997379</v>
      </c>
      <c r="AI68" s="149">
        <f t="shared" si="15"/>
        <v>7.790533927611123</v>
      </c>
      <c r="AJ68" s="149">
        <f t="shared" si="16"/>
        <v>-1.2164660180054265</v>
      </c>
      <c r="AK68" s="149">
        <f t="shared" si="17"/>
        <v>-0.30411650450135663</v>
      </c>
      <c r="AL68" s="148">
        <f t="shared" si="25"/>
        <v>3.5392794754305179E-2</v>
      </c>
    </row>
    <row r="69" spans="1:38" ht="21" customHeight="1" x14ac:dyDescent="0.3">
      <c r="A69" s="172"/>
      <c r="B69" s="159">
        <v>7</v>
      </c>
      <c r="C69" s="159">
        <v>46.74</v>
      </c>
      <c r="D69" s="159">
        <v>294.56</v>
      </c>
      <c r="E69" s="160">
        <v>5.355E-2</v>
      </c>
      <c r="F69" s="160">
        <v>1.3899999999999999E-4</v>
      </c>
      <c r="G69" s="159">
        <v>0.2596</v>
      </c>
      <c r="H69" s="159">
        <v>0.73</v>
      </c>
      <c r="I69" s="159">
        <v>271</v>
      </c>
      <c r="J69" s="220">
        <v>1.5</v>
      </c>
      <c r="K69" s="173"/>
      <c r="L69" s="174">
        <f t="shared" si="18"/>
        <v>0.85077966625103141</v>
      </c>
      <c r="M69" s="174">
        <f t="shared" si="19"/>
        <v>0.56718644416735431</v>
      </c>
      <c r="N69" s="174">
        <f t="shared" si="20"/>
        <v>0.16719150178225708</v>
      </c>
      <c r="O69" s="174">
        <f t="shared" si="1"/>
        <v>212.16601576168424</v>
      </c>
      <c r="P69" s="174">
        <f t="shared" si="2"/>
        <v>59.867145461482124</v>
      </c>
      <c r="Q69" s="175">
        <f t="shared" si="3"/>
        <v>59.867145461482124</v>
      </c>
      <c r="R69" s="176">
        <f t="shared" si="4"/>
        <v>11.023305140704327</v>
      </c>
      <c r="S69" s="177">
        <f t="shared" si="5"/>
        <v>358.07528985205528</v>
      </c>
      <c r="T69" s="177">
        <f t="shared" si="6"/>
        <v>65.932209611111674</v>
      </c>
      <c r="U69" s="167"/>
      <c r="V69" s="178">
        <f t="shared" si="21"/>
        <v>5.0828152436998716E-2</v>
      </c>
      <c r="W69" s="179">
        <f t="shared" si="22"/>
        <v>1.252288802726564E-4</v>
      </c>
      <c r="X69" s="180">
        <f t="shared" si="7"/>
        <v>5.5513454157901959E-2</v>
      </c>
      <c r="Y69" s="180">
        <f t="shared" si="8"/>
        <v>2.3579385474826331E-4</v>
      </c>
      <c r="Z69" s="181">
        <f t="shared" si="9"/>
        <v>1.0478949385302556</v>
      </c>
      <c r="AA69" s="181">
        <f t="shared" si="10"/>
        <v>4.4707121815157229E-2</v>
      </c>
      <c r="AB69" s="181">
        <f t="shared" si="11"/>
        <v>-4.9020780683967195E-2</v>
      </c>
      <c r="AC69" s="181">
        <f t="shared" si="23"/>
        <v>5.2593791144226666E-2</v>
      </c>
      <c r="AD69" s="181">
        <f t="shared" si="24"/>
        <v>2.1164350024961611E-4</v>
      </c>
      <c r="AE69" s="267"/>
      <c r="AF69" s="182">
        <f t="shared" si="12"/>
        <v>0.2821712291978371</v>
      </c>
      <c r="AG69" s="182">
        <f t="shared" si="13"/>
        <v>1.3913279878844938E-2</v>
      </c>
      <c r="AH69" s="149">
        <f t="shared" si="14"/>
        <v>-6.6355481739376581</v>
      </c>
      <c r="AI69" s="149">
        <f t="shared" si="15"/>
        <v>7.8073330091976132</v>
      </c>
      <c r="AJ69" s="149">
        <f t="shared" si="16"/>
        <v>-1.2251151975783461</v>
      </c>
      <c r="AK69" s="149">
        <f t="shared" si="17"/>
        <v>-0.30627879939458652</v>
      </c>
      <c r="AL69" s="148">
        <f t="shared" si="25"/>
        <v>3.702727213181467E-2</v>
      </c>
    </row>
    <row r="70" spans="1:38" ht="21" customHeight="1" x14ac:dyDescent="0.3">
      <c r="A70" s="172"/>
      <c r="B70" s="159">
        <v>28</v>
      </c>
      <c r="C70" s="159">
        <v>211.85</v>
      </c>
      <c r="D70" s="159">
        <v>323.55</v>
      </c>
      <c r="E70" s="160">
        <v>5.3920000000000003E-2</v>
      </c>
      <c r="F70" s="160">
        <v>1.294E-4</v>
      </c>
      <c r="G70" s="159">
        <v>0.2399</v>
      </c>
      <c r="H70" s="159">
        <v>0.74</v>
      </c>
      <c r="I70" s="159">
        <v>284</v>
      </c>
      <c r="J70" s="220">
        <v>1.42</v>
      </c>
      <c r="K70" s="173"/>
      <c r="L70" s="174">
        <f t="shared" si="18"/>
        <v>0.85141693927075002</v>
      </c>
      <c r="M70" s="174">
        <f t="shared" si="19"/>
        <v>0.59958939385264098</v>
      </c>
      <c r="N70" s="174">
        <f t="shared" si="20"/>
        <v>0.18397044240051888</v>
      </c>
      <c r="O70" s="174">
        <f t="shared" si="1"/>
        <v>233.45849140625845</v>
      </c>
      <c r="P70" s="174">
        <f t="shared" si="2"/>
        <v>66.583387308331268</v>
      </c>
      <c r="Q70" s="175">
        <f t="shared" si="3"/>
        <v>66.583387308331268</v>
      </c>
      <c r="R70" s="176">
        <f t="shared" si="4"/>
        <v>12.259328799886472</v>
      </c>
      <c r="S70" s="177">
        <f t="shared" si="5"/>
        <v>361.92437458716176</v>
      </c>
      <c r="T70" s="177">
        <f t="shared" si="6"/>
        <v>66.637491544412867</v>
      </c>
      <c r="U70" s="167"/>
      <c r="V70" s="178">
        <f t="shared" si="21"/>
        <v>5.1161378472749361E-2</v>
      </c>
      <c r="W70" s="179">
        <f t="shared" si="22"/>
        <v>1.1649813802340429E-4</v>
      </c>
      <c r="X70" s="180">
        <f t="shared" si="7"/>
        <v>5.5901181541457297E-2</v>
      </c>
      <c r="Y70" s="180">
        <f t="shared" si="8"/>
        <v>2.3098748819879968E-4</v>
      </c>
      <c r="Z70" s="181">
        <f t="shared" si="9"/>
        <v>1.0479287566362974</v>
      </c>
      <c r="AA70" s="181">
        <f t="shared" si="10"/>
        <v>4.5111495664516617E-2</v>
      </c>
      <c r="AB70" s="181">
        <f t="shared" si="11"/>
        <v>-4.9056801427948389E-2</v>
      </c>
      <c r="AC70" s="181">
        <f t="shared" si="23"/>
        <v>5.2941679125550326E-2</v>
      </c>
      <c r="AD70" s="181">
        <f t="shared" si="24"/>
        <v>2.0717717390675438E-4</v>
      </c>
      <c r="AE70" s="267"/>
      <c r="AF70" s="182">
        <f t="shared" si="12"/>
        <v>0.28520439289768462</v>
      </c>
      <c r="AG70" s="182">
        <f t="shared" si="13"/>
        <v>1.4052689226821921E-2</v>
      </c>
      <c r="AH70" s="149">
        <f t="shared" si="14"/>
        <v>-6.651245534314687</v>
      </c>
      <c r="AI70" s="149">
        <f t="shared" si="15"/>
        <v>7.8385556644830849</v>
      </c>
      <c r="AJ70" s="149">
        <f t="shared" si="16"/>
        <v>-1.2412137604260618</v>
      </c>
      <c r="AK70" s="149">
        <f t="shared" si="17"/>
        <v>-0.31030344010651545</v>
      </c>
      <c r="AL70" s="148">
        <f t="shared" si="25"/>
        <v>4.0060435831662189E-2</v>
      </c>
    </row>
    <row r="71" spans="1:38" ht="21" customHeight="1" x14ac:dyDescent="0.3">
      <c r="A71" s="172"/>
      <c r="B71" s="159">
        <v>52</v>
      </c>
      <c r="C71" s="159">
        <v>335.52</v>
      </c>
      <c r="D71" s="159">
        <v>28.71</v>
      </c>
      <c r="E71" s="160">
        <v>7.8450000000000006E-2</v>
      </c>
      <c r="F71" s="160">
        <v>1.1519999999999999E-4</v>
      </c>
      <c r="G71" s="159">
        <v>0.14680000000000001</v>
      </c>
      <c r="H71" s="159">
        <v>0.97</v>
      </c>
      <c r="I71" s="159">
        <v>481</v>
      </c>
      <c r="J71" s="220">
        <v>1.78</v>
      </c>
      <c r="K71" s="173"/>
      <c r="L71" s="174">
        <f t="shared" si="18"/>
        <v>1.2188216645722114</v>
      </c>
      <c r="M71" s="174">
        <f t="shared" si="19"/>
        <v>0.68473127223157948</v>
      </c>
      <c r="N71" s="174">
        <f t="shared" si="20"/>
        <v>0.36476977463486393</v>
      </c>
      <c r="O71" s="174">
        <f t="shared" si="1"/>
        <v>462.89284401164235</v>
      </c>
      <c r="P71" s="174">
        <f t="shared" si="2"/>
        <v>239.6606873435162</v>
      </c>
      <c r="Q71" s="175">
        <f t="shared" si="3"/>
        <v>239.6606873435162</v>
      </c>
      <c r="R71" s="176">
        <f t="shared" si="4"/>
        <v>44.371879490767476</v>
      </c>
      <c r="S71" s="177">
        <f t="shared" si="5"/>
        <v>657.0190405260895</v>
      </c>
      <c r="T71" s="177">
        <f t="shared" si="6"/>
        <v>121.64352031410475</v>
      </c>
      <c r="U71" s="167"/>
      <c r="V71" s="178">
        <f t="shared" si="21"/>
        <v>7.2743288979553997E-2</v>
      </c>
      <c r="W71" s="179">
        <f t="shared" si="22"/>
        <v>9.9049536936858819E-5</v>
      </c>
      <c r="X71" s="180">
        <f t="shared" si="7"/>
        <v>8.1634402788454852E-2</v>
      </c>
      <c r="Y71" s="180">
        <f t="shared" si="8"/>
        <v>3.1872691686448968E-4</v>
      </c>
      <c r="Z71" s="181">
        <f t="shared" si="9"/>
        <v>1.0501744629031151</v>
      </c>
      <c r="AA71" s="181">
        <f t="shared" si="10"/>
        <v>7.2586490045230143E-2</v>
      </c>
      <c r="AB71" s="181">
        <f t="shared" si="11"/>
        <v>-5.1477051177003623E-2</v>
      </c>
      <c r="AC71" s="181">
        <f t="shared" si="23"/>
        <v>7.547319369465437E-2</v>
      </c>
      <c r="AD71" s="181">
        <f t="shared" si="24"/>
        <v>2.7243177340940006E-4</v>
      </c>
      <c r="AE71" s="267"/>
      <c r="AF71" s="182">
        <f t="shared" si="12"/>
        <v>0.51774550080858117</v>
      </c>
      <c r="AG71" s="182">
        <f t="shared" si="13"/>
        <v>2.7426505356770822E-2</v>
      </c>
      <c r="AH71" s="149">
        <f t="shared" si="14"/>
        <v>-7.8547023650602652</v>
      </c>
      <c r="AI71" s="149">
        <f t="shared" si="15"/>
        <v>10.417778512107498</v>
      </c>
      <c r="AJ71" s="149">
        <f t="shared" si="16"/>
        <v>-2.6609300467000541</v>
      </c>
      <c r="AK71" s="149">
        <f t="shared" si="17"/>
        <v>-0.66523251167501352</v>
      </c>
      <c r="AL71" s="148">
        <f t="shared" si="25"/>
        <v>0.27260154374255874</v>
      </c>
    </row>
    <row r="72" spans="1:38" ht="21" customHeight="1" x14ac:dyDescent="0.3">
      <c r="A72" s="172"/>
      <c r="B72" s="159">
        <v>13</v>
      </c>
      <c r="C72" s="159">
        <v>115.13</v>
      </c>
      <c r="D72" s="159">
        <v>187.28</v>
      </c>
      <c r="E72" s="160">
        <v>6.973E-2</v>
      </c>
      <c r="F72" s="160">
        <v>1.4650000000000001E-4</v>
      </c>
      <c r="G72" s="159">
        <v>0.21</v>
      </c>
      <c r="H72" s="159">
        <v>0.78</v>
      </c>
      <c r="I72" s="159">
        <v>312</v>
      </c>
      <c r="J72" s="220">
        <v>1.6</v>
      </c>
      <c r="K72" s="173"/>
      <c r="L72" s="174">
        <f t="shared" si="18"/>
        <v>0.9379291003665825</v>
      </c>
      <c r="M72" s="174">
        <f t="shared" si="19"/>
        <v>0.58620568772911408</v>
      </c>
      <c r="N72" s="174">
        <f t="shared" si="20"/>
        <v>0.20040211792667573</v>
      </c>
      <c r="O72" s="174">
        <f t="shared" si="1"/>
        <v>254.31028764895149</v>
      </c>
      <c r="P72" s="174">
        <f t="shared" si="2"/>
        <v>108.66637544733807</v>
      </c>
      <c r="Q72" s="175">
        <f t="shared" si="3"/>
        <v>108.66637544733807</v>
      </c>
      <c r="R72" s="176">
        <f t="shared" si="4"/>
        <v>20.055441170994712</v>
      </c>
      <c r="S72" s="177">
        <f t="shared" si="5"/>
        <v>542.24165179280965</v>
      </c>
      <c r="T72" s="177">
        <f t="shared" si="6"/>
        <v>100.07599409868868</v>
      </c>
      <c r="U72" s="167"/>
      <c r="V72" s="178">
        <f t="shared" si="21"/>
        <v>6.5184672767894705E-2</v>
      </c>
      <c r="W72" s="179">
        <f t="shared" si="22"/>
        <v>1.2802337546811196E-4</v>
      </c>
      <c r="X72" s="180">
        <f t="shared" si="7"/>
        <v>7.2480366371644511E-2</v>
      </c>
      <c r="Y72" s="180">
        <f t="shared" si="8"/>
        <v>2.9838538325086515E-4</v>
      </c>
      <c r="Z72" s="181">
        <f t="shared" si="9"/>
        <v>1.0493753260649079</v>
      </c>
      <c r="AA72" s="181">
        <f t="shared" si="10"/>
        <v>6.2669040826732664E-2</v>
      </c>
      <c r="AB72" s="181">
        <f t="shared" si="11"/>
        <v>-5.06094219951169E-2</v>
      </c>
      <c r="AC72" s="181">
        <f t="shared" si="23"/>
        <v>6.7581998369682081E-2</v>
      </c>
      <c r="AD72" s="181">
        <f t="shared" si="24"/>
        <v>2.5941724575129167E-4</v>
      </c>
      <c r="AE72" s="267"/>
      <c r="AF72" s="182">
        <f t="shared" si="12"/>
        <v>0.42729838596754111</v>
      </c>
      <c r="AG72" s="182">
        <f t="shared" si="13"/>
        <v>2.1745763179103959E-2</v>
      </c>
      <c r="AH72" s="149">
        <f t="shared" si="14"/>
        <v>-7.3866165321743749</v>
      </c>
      <c r="AI72" s="149">
        <f t="shared" si="15"/>
        <v>9.3710670305361639</v>
      </c>
      <c r="AJ72" s="149">
        <f t="shared" si="16"/>
        <v>-2.0652098933096528</v>
      </c>
      <c r="AK72" s="149">
        <f t="shared" si="17"/>
        <v>-0.51630247332741319</v>
      </c>
      <c r="AL72" s="148">
        <f t="shared" si="25"/>
        <v>0.18215442890151867</v>
      </c>
    </row>
    <row r="73" spans="1:38" ht="21" customHeight="1" x14ac:dyDescent="0.3">
      <c r="A73" s="172"/>
      <c r="B73" s="159">
        <v>54</v>
      </c>
      <c r="C73" s="159">
        <v>341.97</v>
      </c>
      <c r="D73" s="159">
        <v>59.17</v>
      </c>
      <c r="E73" s="160">
        <v>6.7680000000000004E-2</v>
      </c>
      <c r="F73" s="160">
        <v>1.328E-4</v>
      </c>
      <c r="G73" s="159">
        <v>0.19620000000000001</v>
      </c>
      <c r="H73" s="159">
        <v>0.76</v>
      </c>
      <c r="I73" s="159">
        <v>297</v>
      </c>
      <c r="J73" s="220">
        <v>1.67</v>
      </c>
      <c r="K73" s="173"/>
      <c r="L73" s="174">
        <f t="shared" si="18"/>
        <v>0.93188821436452063</v>
      </c>
      <c r="M73" s="174">
        <f t="shared" si="19"/>
        <v>0.55801689482905426</v>
      </c>
      <c r="N73" s="174">
        <f t="shared" si="20"/>
        <v>0.18241268817772266</v>
      </c>
      <c r="O73" s="174">
        <f t="shared" si="1"/>
        <v>231.48170129753007</v>
      </c>
      <c r="P73" s="174">
        <f t="shared" si="2"/>
        <v>94.301546419576766</v>
      </c>
      <c r="Q73" s="175">
        <f t="shared" si="3"/>
        <v>94.301546419576766</v>
      </c>
      <c r="R73" s="176">
        <f t="shared" si="4"/>
        <v>17.393578661717115</v>
      </c>
      <c r="S73" s="177">
        <f t="shared" si="5"/>
        <v>516.96813068014114</v>
      </c>
      <c r="T73" s="177">
        <f t="shared" si="6"/>
        <v>95.352899162204906</v>
      </c>
      <c r="U73" s="167"/>
      <c r="V73" s="178">
        <f t="shared" si="21"/>
        <v>6.3389779709276201E-2</v>
      </c>
      <c r="W73" s="179">
        <f t="shared" si="22"/>
        <v>1.1649729999120347E-4</v>
      </c>
      <c r="X73" s="180">
        <f t="shared" si="7"/>
        <v>7.032933939331365E-2</v>
      </c>
      <c r="Y73" s="180">
        <f t="shared" si="8"/>
        <v>2.8328565550264108E-4</v>
      </c>
      <c r="Z73" s="181">
        <f t="shared" si="9"/>
        <v>1.0491875880212866</v>
      </c>
      <c r="AA73" s="181">
        <f t="shared" si="10"/>
        <v>6.0361669539095761E-2</v>
      </c>
      <c r="AB73" s="181">
        <f t="shared" si="11"/>
        <v>-5.0406615369709584E-2</v>
      </c>
      <c r="AC73" s="181">
        <f t="shared" si="23"/>
        <v>6.5708130016484345E-2</v>
      </c>
      <c r="AD73" s="181">
        <f t="shared" si="24"/>
        <v>2.4728041648292129E-4</v>
      </c>
      <c r="AE73" s="267"/>
      <c r="AF73" s="182">
        <f t="shared" si="12"/>
        <v>0.40738229368017426</v>
      </c>
      <c r="AG73" s="182">
        <f t="shared" si="13"/>
        <v>2.0564053732625424E-2</v>
      </c>
      <c r="AH73" s="149">
        <f t="shared" si="14"/>
        <v>-7.2835459072843678</v>
      </c>
      <c r="AI73" s="149">
        <f t="shared" si="15"/>
        <v>9.1480283321171658</v>
      </c>
      <c r="AJ73" s="149">
        <f t="shared" si="16"/>
        <v>-1.9414776783383503</v>
      </c>
      <c r="AK73" s="149">
        <f t="shared" si="17"/>
        <v>-0.48536941958458757</v>
      </c>
      <c r="AL73" s="148">
        <f t="shared" si="25"/>
        <v>0.16223833661415182</v>
      </c>
    </row>
    <row r="74" spans="1:38" ht="21" customHeight="1" x14ac:dyDescent="0.3">
      <c r="A74" s="172"/>
      <c r="B74" s="159">
        <v>41</v>
      </c>
      <c r="C74" s="159">
        <v>264.54000000000002</v>
      </c>
      <c r="D74" s="159">
        <v>34.130000000000003</v>
      </c>
      <c r="E74" s="160">
        <v>7.0709999999999995E-2</v>
      </c>
      <c r="F74" s="160">
        <v>1.337E-4</v>
      </c>
      <c r="G74" s="159">
        <v>0.18909999999999999</v>
      </c>
      <c r="H74" s="159">
        <v>0.82</v>
      </c>
      <c r="I74" s="159">
        <v>347</v>
      </c>
      <c r="J74" s="220">
        <v>1.86</v>
      </c>
      <c r="K74" s="173"/>
      <c r="L74" s="174">
        <f t="shared" si="18"/>
        <v>1.0551208672073296</v>
      </c>
      <c r="M74" s="174">
        <f t="shared" si="19"/>
        <v>0.56726928344480088</v>
      </c>
      <c r="N74" s="174">
        <f t="shared" si="20"/>
        <v>0.21887789764088941</v>
      </c>
      <c r="O74" s="174">
        <f t="shared" si="1"/>
        <v>277.75605210628868</v>
      </c>
      <c r="P74" s="174">
        <f t="shared" si="2"/>
        <v>121.3771860623953</v>
      </c>
      <c r="Q74" s="175">
        <f t="shared" si="3"/>
        <v>121.3771860623953</v>
      </c>
      <c r="R74" s="176">
        <f t="shared" si="4"/>
        <v>22.407526123396039</v>
      </c>
      <c r="S74" s="177">
        <f t="shared" si="5"/>
        <v>554.54290894888584</v>
      </c>
      <c r="T74" s="177">
        <f t="shared" si="6"/>
        <v>102.37454930309967</v>
      </c>
      <c r="U74" s="167"/>
      <c r="V74" s="178">
        <f t="shared" si="21"/>
        <v>6.6040291021845304E-2</v>
      </c>
      <c r="W74" s="179">
        <f t="shared" si="22"/>
        <v>1.1662393466987258E-4</v>
      </c>
      <c r="X74" s="180">
        <f t="shared" si="7"/>
        <v>7.3508798175462797E-2</v>
      </c>
      <c r="Y74" s="180">
        <f t="shared" si="8"/>
        <v>2.9552612619729854E-4</v>
      </c>
      <c r="Z74" s="181">
        <f t="shared" si="9"/>
        <v>1.0494650918103963</v>
      </c>
      <c r="AA74" s="181">
        <f t="shared" si="10"/>
        <v>6.3775321254052081E-2</v>
      </c>
      <c r="AB74" s="181">
        <f t="shared" si="11"/>
        <v>-5.0706530149445574E-2</v>
      </c>
      <c r="AC74" s="181">
        <f t="shared" si="23"/>
        <v>6.8475263826806507E-2</v>
      </c>
      <c r="AD74" s="181">
        <f t="shared" si="24"/>
        <v>2.5643934843022018E-4</v>
      </c>
      <c r="AE74" s="267"/>
      <c r="AF74" s="182">
        <f t="shared" si="12"/>
        <v>0.43699204802906683</v>
      </c>
      <c r="AG74" s="182">
        <f t="shared" si="13"/>
        <v>2.2319649942820544E-2</v>
      </c>
      <c r="AH74" s="149">
        <f t="shared" si="14"/>
        <v>-7.4367835926467647</v>
      </c>
      <c r="AI74" s="149">
        <f t="shared" si="15"/>
        <v>9.4805975070222424</v>
      </c>
      <c r="AJ74" s="149">
        <f t="shared" si="16"/>
        <v>-2.1264054114529696</v>
      </c>
      <c r="AK74" s="149">
        <f t="shared" si="17"/>
        <v>-0.53160135286324239</v>
      </c>
      <c r="AL74" s="148">
        <f t="shared" si="25"/>
        <v>0.19184809096304439</v>
      </c>
    </row>
    <row r="75" spans="1:38" ht="21" customHeight="1" x14ac:dyDescent="0.3">
      <c r="A75" s="172"/>
      <c r="B75" s="159">
        <v>56</v>
      </c>
      <c r="C75" s="159">
        <v>359.6</v>
      </c>
      <c r="D75" s="159">
        <v>21.81</v>
      </c>
      <c r="E75" s="160">
        <v>7.7710000000000001E-2</v>
      </c>
      <c r="F75" s="160">
        <v>1.6579999999999999E-4</v>
      </c>
      <c r="G75" s="159">
        <v>0.21329999999999999</v>
      </c>
      <c r="H75" s="159">
        <v>0.68</v>
      </c>
      <c r="I75" s="159">
        <v>241</v>
      </c>
      <c r="J75" s="220">
        <v>1.3</v>
      </c>
      <c r="K75" s="173"/>
      <c r="L75" s="174">
        <f t="shared" si="18"/>
        <v>0.75668890665864696</v>
      </c>
      <c r="M75" s="174">
        <f t="shared" si="19"/>
        <v>0.58206838973742081</v>
      </c>
      <c r="N75" s="174">
        <f t="shared" si="20"/>
        <v>0.14972305116848864</v>
      </c>
      <c r="O75" s="174">
        <f t="shared" si="1"/>
        <v>189.99855193281209</v>
      </c>
      <c r="P75" s="174">
        <f t="shared" si="2"/>
        <v>96.839791579847798</v>
      </c>
      <c r="Q75" s="175">
        <f t="shared" si="3"/>
        <v>96.839791579847798</v>
      </c>
      <c r="R75" s="176">
        <f t="shared" si="4"/>
        <v>17.925343862505791</v>
      </c>
      <c r="S75" s="177">
        <f t="shared" si="5"/>
        <v>646.79280060136193</v>
      </c>
      <c r="T75" s="177">
        <f t="shared" si="6"/>
        <v>119.72334067874272</v>
      </c>
      <c r="U75" s="167"/>
      <c r="V75" s="178">
        <f t="shared" si="21"/>
        <v>7.2106596394206232E-2</v>
      </c>
      <c r="W75" s="179">
        <f t="shared" si="22"/>
        <v>1.4275150672986297E-4</v>
      </c>
      <c r="X75" s="180">
        <f t="shared" si="7"/>
        <v>8.085729879158865E-2</v>
      </c>
      <c r="Y75" s="180">
        <f t="shared" si="8"/>
        <v>3.3955581806278636E-4</v>
      </c>
      <c r="Z75" s="181">
        <f t="shared" si="9"/>
        <v>1.0501066108042698</v>
      </c>
      <c r="AA75" s="181">
        <f t="shared" si="10"/>
        <v>7.1738409775579159E-2</v>
      </c>
      <c r="AB75" s="181">
        <f t="shared" si="11"/>
        <v>-5.1403110015446174E-2</v>
      </c>
      <c r="AC75" s="181">
        <f t="shared" si="23"/>
        <v>7.48084866355513E-2</v>
      </c>
      <c r="AD75" s="181">
        <f t="shared" si="24"/>
        <v>2.9065276381668581E-4</v>
      </c>
      <c r="AE75" s="267"/>
      <c r="AF75" s="182">
        <f t="shared" si="12"/>
        <v>0.50968699810982032</v>
      </c>
      <c r="AG75" s="182">
        <f t="shared" si="13"/>
        <v>2.692558850372551E-2</v>
      </c>
      <c r="AH75" s="149">
        <f t="shared" si="14"/>
        <v>-7.8129976522654783</v>
      </c>
      <c r="AI75" s="149">
        <f t="shared" si="15"/>
        <v>10.322272173947024</v>
      </c>
      <c r="AJ75" s="149">
        <f t="shared" si="16"/>
        <v>-2.6056053643243011</v>
      </c>
      <c r="AK75" s="149">
        <f t="shared" si="17"/>
        <v>-0.65140134108107528</v>
      </c>
      <c r="AL75" s="148">
        <f t="shared" si="25"/>
        <v>0.26454304104379789</v>
      </c>
    </row>
    <row r="76" spans="1:38" ht="21" customHeight="1" x14ac:dyDescent="0.3">
      <c r="A76" s="172"/>
      <c r="B76" s="159">
        <v>57</v>
      </c>
      <c r="C76" s="159">
        <v>365.5</v>
      </c>
      <c r="D76" s="159">
        <v>51.99</v>
      </c>
      <c r="E76" s="160">
        <v>7.9159999999999994E-2</v>
      </c>
      <c r="F76" s="160">
        <v>1.3439999999999999E-4</v>
      </c>
      <c r="G76" s="159">
        <v>0.16980000000000001</v>
      </c>
      <c r="H76" s="159">
        <v>0.85</v>
      </c>
      <c r="I76" s="159">
        <v>375</v>
      </c>
      <c r="J76" s="220">
        <v>1.86</v>
      </c>
      <c r="K76" s="173"/>
      <c r="L76" s="174">
        <f t="shared" si="18"/>
        <v>1.0968648229983544</v>
      </c>
      <c r="M76" s="174">
        <f t="shared" si="19"/>
        <v>0.5897122704292227</v>
      </c>
      <c r="N76" s="174">
        <f t="shared" si="20"/>
        <v>0.24589777439988261</v>
      </c>
      <c r="O76" s="174">
        <f t="shared" si="1"/>
        <v>312.04427571345104</v>
      </c>
      <c r="P76" s="174">
        <f t="shared" si="2"/>
        <v>163.99425790353413</v>
      </c>
      <c r="Q76" s="175">
        <f t="shared" si="3"/>
        <v>163.99425790353413</v>
      </c>
      <c r="R76" s="176">
        <f t="shared" si="4"/>
        <v>30.373082281343049</v>
      </c>
      <c r="S76" s="177">
        <f t="shared" si="5"/>
        <v>666.92046442374158</v>
      </c>
      <c r="T76" s="177">
        <f t="shared" si="6"/>
        <v>123.51914268223467</v>
      </c>
      <c r="U76" s="167"/>
      <c r="V76" s="178">
        <f t="shared" si="21"/>
        <v>7.3353348900997067E-2</v>
      </c>
      <c r="W76" s="179">
        <f t="shared" si="22"/>
        <v>1.1540578774945883E-4</v>
      </c>
      <c r="X76" s="180">
        <f t="shared" si="7"/>
        <v>8.2380049769927466E-2</v>
      </c>
      <c r="Y76" s="180">
        <f t="shared" si="8"/>
        <v>3.2982600840661484E-4</v>
      </c>
      <c r="Z76" s="181">
        <f t="shared" si="9"/>
        <v>1.0502395704232197</v>
      </c>
      <c r="AA76" s="181">
        <f t="shared" si="10"/>
        <v>7.3401316138051453E-2</v>
      </c>
      <c r="AB76" s="181">
        <f t="shared" si="11"/>
        <v>-5.1548049174157812E-2</v>
      </c>
      <c r="AC76" s="181">
        <f t="shared" si="23"/>
        <v>7.6110096252640938E-2</v>
      </c>
      <c r="AD76" s="181">
        <f t="shared" si="24"/>
        <v>2.8153042845249733E-4</v>
      </c>
      <c r="AE76" s="267"/>
      <c r="AF76" s="182">
        <f t="shared" si="12"/>
        <v>0.52554804131106503</v>
      </c>
      <c r="AG76" s="182">
        <f t="shared" si="13"/>
        <v>2.7956457943172159E-2</v>
      </c>
      <c r="AH76" s="149">
        <f t="shared" si="14"/>
        <v>-7.8950824111916402</v>
      </c>
      <c r="AI76" s="149">
        <f t="shared" si="15"/>
        <v>10.510670352143933</v>
      </c>
      <c r="AJ76" s="149">
        <f t="shared" si="16"/>
        <v>-2.7149165207600823</v>
      </c>
      <c r="AK76" s="149">
        <f t="shared" si="17"/>
        <v>-0.67872913019002057</v>
      </c>
      <c r="AL76" s="148">
        <f t="shared" si="25"/>
        <v>0.2804040842450426</v>
      </c>
    </row>
    <row r="77" spans="1:38" ht="21" customHeight="1" x14ac:dyDescent="0.3">
      <c r="A77" s="172"/>
      <c r="B77" s="159">
        <v>37</v>
      </c>
      <c r="C77" s="159">
        <v>243.5</v>
      </c>
      <c r="D77" s="159">
        <v>311.43</v>
      </c>
      <c r="E77" s="160">
        <v>9.5350000000000004E-2</v>
      </c>
      <c r="F77" s="160">
        <v>1.2689999999999999E-4</v>
      </c>
      <c r="G77" s="159">
        <v>0.13300000000000001</v>
      </c>
      <c r="H77" s="159">
        <v>1.01</v>
      </c>
      <c r="I77" s="159">
        <v>527</v>
      </c>
      <c r="J77" s="220">
        <v>1.44</v>
      </c>
      <c r="K77" s="173"/>
      <c r="L77" s="174">
        <f t="shared" si="18"/>
        <v>1.1665120297432621</v>
      </c>
      <c r="M77" s="174">
        <f t="shared" si="19"/>
        <v>0.81007779843282091</v>
      </c>
      <c r="N77" s="174">
        <f t="shared" si="20"/>
        <v>0.4620477924218252</v>
      </c>
      <c r="O77" s="174">
        <f t="shared" si="1"/>
        <v>586.33864858329616</v>
      </c>
      <c r="P77" s="174">
        <f t="shared" si="2"/>
        <v>424.85934611019718</v>
      </c>
      <c r="Q77" s="175">
        <f t="shared" si="3"/>
        <v>424.85934611019718</v>
      </c>
      <c r="R77" s="176">
        <f t="shared" si="4"/>
        <v>79.413079185819157</v>
      </c>
      <c r="S77" s="177">
        <f t="shared" si="5"/>
        <v>919.51385349834777</v>
      </c>
      <c r="T77" s="177">
        <f t="shared" si="6"/>
        <v>171.87200217876864</v>
      </c>
      <c r="U77" s="167"/>
      <c r="V77" s="178">
        <f t="shared" si="21"/>
        <v>8.7049801433331811E-2</v>
      </c>
      <c r="W77" s="179">
        <f t="shared" si="22"/>
        <v>1.057683664564844E-4</v>
      </c>
      <c r="X77" s="180">
        <f t="shared" si="7"/>
        <v>9.9395455594376736E-2</v>
      </c>
      <c r="Y77" s="180">
        <f t="shared" si="8"/>
        <v>3.9610053497956838E-4</v>
      </c>
      <c r="Z77" s="181">
        <f t="shared" si="9"/>
        <v>1.0517258499727156</v>
      </c>
      <c r="AA77" s="181">
        <f t="shared" si="10"/>
        <v>9.2281742578474796E-2</v>
      </c>
      <c r="AB77" s="181">
        <f t="shared" si="11"/>
        <v>-5.3181496182388967E-2</v>
      </c>
      <c r="AC77" s="181">
        <f t="shared" si="23"/>
        <v>9.040919269639841E-2</v>
      </c>
      <c r="AD77" s="181">
        <f t="shared" si="24"/>
        <v>3.2771593110748974E-4</v>
      </c>
      <c r="AE77" s="267"/>
      <c r="AF77" s="182">
        <f t="shared" si="12"/>
        <v>0.72459720527844584</v>
      </c>
      <c r="AG77" s="182">
        <f t="shared" si="13"/>
        <v>4.265451259899071E-2</v>
      </c>
      <c r="AH77" s="149">
        <f t="shared" si="14"/>
        <v>-8.9252102805511022</v>
      </c>
      <c r="AI77" s="149">
        <f t="shared" si="15"/>
        <v>13.019840888713786</v>
      </c>
      <c r="AJ77" s="149">
        <f t="shared" si="16"/>
        <v>-4.2315794799603124</v>
      </c>
      <c r="AK77" s="149">
        <f t="shared" si="17"/>
        <v>-1.0578948699900781</v>
      </c>
      <c r="AL77" s="148">
        <f t="shared" si="25"/>
        <v>0.47945324821242341</v>
      </c>
    </row>
    <row r="78" spans="1:38" ht="21" customHeight="1" x14ac:dyDescent="0.3">
      <c r="A78" s="172"/>
      <c r="B78" s="159">
        <v>59</v>
      </c>
      <c r="C78" s="159">
        <v>382.51</v>
      </c>
      <c r="D78" s="159">
        <v>255.69</v>
      </c>
      <c r="E78" s="160">
        <v>7.8850000000000003E-2</v>
      </c>
      <c r="F78" s="160">
        <v>1.141E-4</v>
      </c>
      <c r="G78" s="159">
        <v>0.1447</v>
      </c>
      <c r="H78" s="159">
        <v>1.01</v>
      </c>
      <c r="I78" s="159">
        <v>525</v>
      </c>
      <c r="J78" s="220">
        <v>1.64</v>
      </c>
      <c r="K78" s="173"/>
      <c r="L78" s="174">
        <f t="shared" si="18"/>
        <v>1.2294629251967379</v>
      </c>
      <c r="M78" s="174">
        <f t="shared" si="19"/>
        <v>0.74967251536386459</v>
      </c>
      <c r="N78" s="174">
        <f t="shared" si="20"/>
        <v>0.43238384631678267</v>
      </c>
      <c r="O78" s="174">
        <f t="shared" si="1"/>
        <v>548.69510097599721</v>
      </c>
      <c r="P78" s="174">
        <f t="shared" si="2"/>
        <v>286.4916641229421</v>
      </c>
      <c r="Q78" s="175">
        <f t="shared" si="3"/>
        <v>286.4916641229421</v>
      </c>
      <c r="R78" s="176">
        <f t="shared" si="4"/>
        <v>53.051592739564462</v>
      </c>
      <c r="S78" s="177">
        <f t="shared" si="5"/>
        <v>662.58641844137298</v>
      </c>
      <c r="T78" s="177">
        <f t="shared" si="6"/>
        <v>122.69559372182611</v>
      </c>
      <c r="U78" s="167"/>
      <c r="V78" s="178">
        <f t="shared" si="21"/>
        <v>7.3087083468508132E-2</v>
      </c>
      <c r="W78" s="179">
        <f t="shared" si="22"/>
        <v>9.8031018006435749E-5</v>
      </c>
      <c r="X78" s="180">
        <f t="shared" si="7"/>
        <v>8.2054479909461714E-2</v>
      </c>
      <c r="Y78" s="180">
        <f t="shared" si="8"/>
        <v>3.1997364021563586E-4</v>
      </c>
      <c r="Z78" s="181">
        <f t="shared" si="9"/>
        <v>1.0502111424514773</v>
      </c>
      <c r="AA78" s="181">
        <f t="shared" si="10"/>
        <v>7.3045411187268316E-2</v>
      </c>
      <c r="AB78" s="181">
        <f t="shared" si="11"/>
        <v>-5.1517043489653969E-2</v>
      </c>
      <c r="AC78" s="181">
        <f t="shared" si="23"/>
        <v>7.583211514112248E-2</v>
      </c>
      <c r="AD78" s="181">
        <f t="shared" si="24"/>
        <v>2.7328509587929654E-4</v>
      </c>
      <c r="AE78" s="267"/>
      <c r="AF78" s="182">
        <f t="shared" si="12"/>
        <v>0.52213271744789047</v>
      </c>
      <c r="AG78" s="182">
        <f t="shared" si="13"/>
        <v>2.7717526237437153E-2</v>
      </c>
      <c r="AH78" s="149">
        <f t="shared" si="14"/>
        <v>-7.8774072789568672</v>
      </c>
      <c r="AI78" s="149">
        <f t="shared" si="15"/>
        <v>10.469959046838271</v>
      </c>
      <c r="AJ78" s="149">
        <f t="shared" si="16"/>
        <v>-2.6912348514790563</v>
      </c>
      <c r="AK78" s="149">
        <f t="shared" si="17"/>
        <v>-0.67280871286976407</v>
      </c>
      <c r="AL78" s="148">
        <f t="shared" si="25"/>
        <v>0.27698876038186804</v>
      </c>
    </row>
    <row r="79" spans="1:38" ht="21" customHeight="1" x14ac:dyDescent="0.3">
      <c r="A79" s="172"/>
      <c r="B79" s="159">
        <v>60</v>
      </c>
      <c r="C79" s="159">
        <v>406.58</v>
      </c>
      <c r="D79" s="159">
        <v>249.17</v>
      </c>
      <c r="E79" s="160">
        <v>8.0689999999999998E-2</v>
      </c>
      <c r="F79" s="160">
        <v>1.4919999999999999E-4</v>
      </c>
      <c r="G79" s="159">
        <v>0.18490000000000001</v>
      </c>
      <c r="H79" s="159">
        <v>0.8</v>
      </c>
      <c r="I79" s="159">
        <v>325</v>
      </c>
      <c r="J79" s="220">
        <v>1.07</v>
      </c>
      <c r="K79" s="173"/>
      <c r="L79" s="174">
        <f t="shared" si="18"/>
        <v>0.81470679051114059</v>
      </c>
      <c r="M79" s="174">
        <f t="shared" si="19"/>
        <v>0.76140821543097248</v>
      </c>
      <c r="N79" s="174">
        <f t="shared" si="20"/>
        <v>0.25539569690465114</v>
      </c>
      <c r="O79" s="174">
        <f t="shared" si="1"/>
        <v>324.09713937200229</v>
      </c>
      <c r="P79" s="174">
        <f t="shared" si="2"/>
        <v>175.85572674261533</v>
      </c>
      <c r="Q79" s="175">
        <f t="shared" si="3"/>
        <v>175.85572674261533</v>
      </c>
      <c r="R79" s="176">
        <f t="shared" si="4"/>
        <v>32.593529634777212</v>
      </c>
      <c r="S79" s="177">
        <f t="shared" si="5"/>
        <v>688.56182337429482</v>
      </c>
      <c r="T79" s="177">
        <f t="shared" si="6"/>
        <v>127.6197290314786</v>
      </c>
      <c r="U79" s="167"/>
      <c r="V79" s="178">
        <f t="shared" si="21"/>
        <v>7.4665260157862109E-2</v>
      </c>
      <c r="W79" s="179">
        <f t="shared" si="22"/>
        <v>1.2775166160920059E-4</v>
      </c>
      <c r="X79" s="180">
        <f t="shared" si="7"/>
        <v>8.3987023655958351E-2</v>
      </c>
      <c r="Y79" s="180">
        <f t="shared" si="8"/>
        <v>3.4295752055311414E-4</v>
      </c>
      <c r="Z79" s="181">
        <f t="shared" si="9"/>
        <v>1.0503798931275008</v>
      </c>
      <c r="AA79" s="181">
        <f t="shared" si="10"/>
        <v>7.5160963234465208E-2</v>
      </c>
      <c r="AB79" s="181">
        <f t="shared" si="11"/>
        <v>-5.1701226167998125E-2</v>
      </c>
      <c r="AC79" s="181">
        <f t="shared" si="23"/>
        <v>7.7479731604808033E-2</v>
      </c>
      <c r="AD79" s="181">
        <f t="shared" si="24"/>
        <v>2.9187181857743758E-4</v>
      </c>
      <c r="AE79" s="267"/>
      <c r="AF79" s="182">
        <f t="shared" si="12"/>
        <v>0.54260190967241517</v>
      </c>
      <c r="AG79" s="182">
        <f t="shared" si="13"/>
        <v>2.9116216115345549E-2</v>
      </c>
      <c r="AH79" s="149">
        <f t="shared" si="14"/>
        <v>-7.9833403306385815</v>
      </c>
      <c r="AI79" s="149">
        <f t="shared" si="15"/>
        <v>10.715137749147759</v>
      </c>
      <c r="AJ79" s="149">
        <f t="shared" si="16"/>
        <v>-2.8343491794372624</v>
      </c>
      <c r="AK79" s="149">
        <f t="shared" si="17"/>
        <v>-0.7085872948593156</v>
      </c>
      <c r="AL79" s="148">
        <f t="shared" si="25"/>
        <v>0.29745795260639274</v>
      </c>
    </row>
    <row r="80" spans="1:38" ht="21" customHeight="1" x14ac:dyDescent="0.3">
      <c r="A80" s="172"/>
      <c r="B80" s="159">
        <v>26</v>
      </c>
      <c r="C80" s="159">
        <v>198.05</v>
      </c>
      <c r="D80" s="159">
        <v>360.17</v>
      </c>
      <c r="E80" s="160">
        <v>4.9489999999999999E-2</v>
      </c>
      <c r="F80" s="160">
        <v>1.0009999999999999E-4</v>
      </c>
      <c r="G80" s="159">
        <v>0.20230000000000001</v>
      </c>
      <c r="H80" s="159">
        <v>0.93</v>
      </c>
      <c r="I80" s="159">
        <v>447</v>
      </c>
      <c r="J80" s="220">
        <v>1.43</v>
      </c>
      <c r="K80" s="173"/>
      <c r="L80" s="174">
        <f t="shared" si="18"/>
        <v>1.0712492869323373</v>
      </c>
      <c r="M80" s="174">
        <f t="shared" si="19"/>
        <v>0.74912537547715896</v>
      </c>
      <c r="N80" s="174">
        <f t="shared" si="20"/>
        <v>0.36209960389916829</v>
      </c>
      <c r="O80" s="174">
        <f t="shared" si="1"/>
        <v>459.50439734804456</v>
      </c>
      <c r="P80" s="174">
        <f t="shared" si="2"/>
        <v>114.72537258466957</v>
      </c>
      <c r="Q80" s="175">
        <f t="shared" si="3"/>
        <v>114.72537258466957</v>
      </c>
      <c r="R80" s="176">
        <f t="shared" si="4"/>
        <v>21.133292700376746</v>
      </c>
      <c r="S80" s="177">
        <f t="shared" si="5"/>
        <v>316.83374228881087</v>
      </c>
      <c r="T80" s="177">
        <f t="shared" si="6"/>
        <v>58.363203032560094</v>
      </c>
      <c r="U80" s="167"/>
      <c r="V80" s="178">
        <f t="shared" si="21"/>
        <v>4.7156237791689294E-2</v>
      </c>
      <c r="W80" s="179">
        <f t="shared" si="22"/>
        <v>9.08819146414467E-5</v>
      </c>
      <c r="X80" s="180">
        <f t="shared" si="7"/>
        <v>5.1259753858767139E-2</v>
      </c>
      <c r="Y80" s="180">
        <f t="shared" si="8"/>
        <v>1.9832161226513849E-4</v>
      </c>
      <c r="Z80" s="181">
        <f t="shared" si="9"/>
        <v>1.0475239608779814</v>
      </c>
      <c r="AA80" s="181">
        <f t="shared" si="10"/>
        <v>4.0289504381741698E-2</v>
      </c>
      <c r="AB80" s="181">
        <f t="shared" si="11"/>
        <v>-4.8626471083660611E-2</v>
      </c>
      <c r="AC80" s="181">
        <f t="shared" si="23"/>
        <v>4.8760312254523631E-2</v>
      </c>
      <c r="AD80" s="181">
        <f t="shared" si="24"/>
        <v>1.7945268791257695E-4</v>
      </c>
      <c r="AE80" s="267"/>
      <c r="AF80" s="182">
        <f t="shared" si="12"/>
        <v>0.24967197973901564</v>
      </c>
      <c r="AG80" s="182">
        <f t="shared" si="13"/>
        <v>1.238352176614123E-2</v>
      </c>
      <c r="AH80" s="149">
        <f t="shared" si="14"/>
        <v>-6.4673566481180185</v>
      </c>
      <c r="AI80" s="149">
        <f t="shared" si="15"/>
        <v>7.4767039318400519</v>
      </c>
      <c r="AJ80" s="149">
        <f t="shared" si="16"/>
        <v>-1.0565352878927068</v>
      </c>
      <c r="AK80" s="149">
        <f t="shared" si="17"/>
        <v>-0.2641338219731767</v>
      </c>
      <c r="AL80" s="148">
        <f t="shared" si="25"/>
        <v>4.5280226729932094E-3</v>
      </c>
    </row>
    <row r="81" spans="1:38" ht="21" customHeight="1" x14ac:dyDescent="0.3">
      <c r="A81" s="172"/>
      <c r="B81" s="159">
        <v>1</v>
      </c>
      <c r="C81" s="159">
        <v>43.99</v>
      </c>
      <c r="D81" s="159">
        <v>221.51</v>
      </c>
      <c r="E81" s="160">
        <v>1.175E-2</v>
      </c>
      <c r="F81" s="160">
        <v>5.1140000000000002E-5</v>
      </c>
      <c r="G81" s="159">
        <v>0.43540000000000001</v>
      </c>
      <c r="H81" s="159">
        <v>0.79</v>
      </c>
      <c r="I81" s="159">
        <v>318</v>
      </c>
      <c r="J81" s="220">
        <v>1.47</v>
      </c>
      <c r="K81" s="173"/>
      <c r="L81" s="174">
        <f t="shared" si="18"/>
        <v>0.91390317254548259</v>
      </c>
      <c r="M81" s="174">
        <f t="shared" si="19"/>
        <v>0.62170283846631469</v>
      </c>
      <c r="N81" s="174">
        <f t="shared" si="20"/>
        <v>0.21452186119017636</v>
      </c>
      <c r="O81" s="174">
        <f t="shared" si="1"/>
        <v>272.2282418503338</v>
      </c>
      <c r="P81" s="174">
        <f t="shared" si="2"/>
        <v>0.9448851688117651</v>
      </c>
      <c r="Q81" s="175">
        <f t="shared" si="3"/>
        <v>0.9448851688117651</v>
      </c>
      <c r="R81" s="176">
        <f t="shared" si="4"/>
        <v>1.4746867737057736</v>
      </c>
      <c r="S81" s="177">
        <f t="shared" si="5"/>
        <v>4.4046101575359371</v>
      </c>
      <c r="T81" s="177">
        <f t="shared" si="6"/>
        <v>6.8742960065894883</v>
      </c>
      <c r="U81" s="167"/>
      <c r="V81" s="178">
        <f t="shared" si="21"/>
        <v>1.1613540894489746E-2</v>
      </c>
      <c r="W81" s="179">
        <f t="shared" si="22"/>
        <v>4.99590645106556E-5</v>
      </c>
      <c r="X81" s="180">
        <f t="shared" si="7"/>
        <v>1.1791147623570671E-2</v>
      </c>
      <c r="Y81" s="180">
        <f t="shared" si="8"/>
        <v>6.9956452307614301E-5</v>
      </c>
      <c r="Z81" s="181">
        <f t="shared" si="9"/>
        <v>1.0440849201730782</v>
      </c>
      <c r="AA81" s="181">
        <f t="shared" si="10"/>
        <v>9.3521129623629269E-4</v>
      </c>
      <c r="AB81" s="181">
        <f t="shared" si="11"/>
        <v>-4.5043738362014571E-2</v>
      </c>
      <c r="AC81" s="181">
        <f t="shared" si="23"/>
        <v>1.1653736693847295E-2</v>
      </c>
      <c r="AD81" s="181">
        <f t="shared" si="24"/>
        <v>6.8335444913488364E-5</v>
      </c>
      <c r="AE81" s="267"/>
      <c r="AF81" s="182">
        <f t="shared" si="12"/>
        <v>3.4709299901780435E-3</v>
      </c>
      <c r="AG81" s="182">
        <f t="shared" si="13"/>
        <v>5.3819866375356346E-3</v>
      </c>
      <c r="AH81" s="149">
        <f t="shared" si="14"/>
        <v>-5.1932062937191681</v>
      </c>
      <c r="AI81" s="149">
        <f t="shared" si="15"/>
        <v>5.2043444969505579</v>
      </c>
      <c r="AJ81" s="149">
        <f t="shared" si="16"/>
        <v>-1.1794208999533592E-2</v>
      </c>
      <c r="AK81" s="149">
        <f t="shared" si="17"/>
        <v>-2.9485522498833979E-3</v>
      </c>
      <c r="AL81" s="148">
        <f t="shared" si="25"/>
        <v>0.2416730270758444</v>
      </c>
    </row>
    <row r="82" spans="1:38" ht="21" customHeight="1" x14ac:dyDescent="0.3">
      <c r="A82" s="172"/>
      <c r="B82" s="159">
        <v>2</v>
      </c>
      <c r="C82" s="159">
        <v>56.69</v>
      </c>
      <c r="D82" s="159">
        <v>458.88</v>
      </c>
      <c r="E82" s="160">
        <v>1.2160000000000001E-2</v>
      </c>
      <c r="F82" s="160">
        <v>5.0399999999999999E-5</v>
      </c>
      <c r="G82" s="159">
        <v>0.41449999999999998</v>
      </c>
      <c r="H82" s="159">
        <v>0.78</v>
      </c>
      <c r="I82" s="159">
        <v>309</v>
      </c>
      <c r="J82" s="220">
        <v>1.44</v>
      </c>
      <c r="K82" s="173"/>
      <c r="L82" s="174">
        <f t="shared" si="18"/>
        <v>0.89322969787726758</v>
      </c>
      <c r="M82" s="174">
        <f t="shared" si="19"/>
        <v>0.6202984013036581</v>
      </c>
      <c r="N82" s="174">
        <f t="shared" si="20"/>
        <v>0.20744773430315022</v>
      </c>
      <c r="O82" s="174">
        <f t="shared" si="1"/>
        <v>263.25117483069761</v>
      </c>
      <c r="P82" s="174">
        <f t="shared" si="2"/>
        <v>1.5012765641492278</v>
      </c>
      <c r="Q82" s="175">
        <f t="shared" si="3"/>
        <v>1.5012765641492278</v>
      </c>
      <c r="R82" s="176">
        <f t="shared" si="4"/>
        <v>1.4452372984582718</v>
      </c>
      <c r="S82" s="177">
        <f t="shared" si="5"/>
        <v>7.2368906278598493</v>
      </c>
      <c r="T82" s="177">
        <f t="shared" si="6"/>
        <v>6.9667538347095119</v>
      </c>
      <c r="U82" s="167"/>
      <c r="V82" s="178">
        <f t="shared" si="21"/>
        <v>1.2013910844135316E-2</v>
      </c>
      <c r="W82" s="179">
        <f t="shared" si="22"/>
        <v>4.9196272223221214E-5</v>
      </c>
      <c r="X82" s="180">
        <f t="shared" si="7"/>
        <v>1.2219230081127984E-2</v>
      </c>
      <c r="Y82" s="180">
        <f t="shared" si="8"/>
        <v>6.950274108830967E-5</v>
      </c>
      <c r="Z82" s="181">
        <f t="shared" si="9"/>
        <v>1.0441221901951834</v>
      </c>
      <c r="AA82" s="181">
        <f t="shared" si="10"/>
        <v>1.346216981437729E-3</v>
      </c>
      <c r="AB82" s="181">
        <f t="shared" si="11"/>
        <v>-4.5081861868825387E-2</v>
      </c>
      <c r="AC82" s="181">
        <f t="shared" si="23"/>
        <v>1.2071722921277271E-2</v>
      </c>
      <c r="AD82" s="181">
        <f t="shared" si="24"/>
        <v>6.78348338137372E-5</v>
      </c>
      <c r="AE82" s="267"/>
      <c r="AF82" s="182">
        <f t="shared" si="12"/>
        <v>5.7028294939793925E-3</v>
      </c>
      <c r="AG82" s="182">
        <f t="shared" si="13"/>
        <v>5.3959300207682779E-3</v>
      </c>
      <c r="AH82" s="149">
        <f t="shared" si="14"/>
        <v>-5.2047569168649757</v>
      </c>
      <c r="AI82" s="149">
        <f t="shared" si="15"/>
        <v>5.2231003790496562</v>
      </c>
      <c r="AJ82" s="149">
        <f t="shared" si="16"/>
        <v>-1.9421296959041004E-2</v>
      </c>
      <c r="AK82" s="149">
        <f t="shared" si="17"/>
        <v>-4.855324239760251E-3</v>
      </c>
      <c r="AL82" s="148">
        <f t="shared" si="25"/>
        <v>0.23944112757204303</v>
      </c>
    </row>
    <row r="83" spans="1:38" ht="21" customHeight="1" x14ac:dyDescent="0.3">
      <c r="A83" s="172"/>
      <c r="B83" s="159">
        <v>3</v>
      </c>
      <c r="C83" s="159">
        <v>59.32</v>
      </c>
      <c r="D83" s="159">
        <v>496.92</v>
      </c>
      <c r="E83" s="160">
        <v>1.319E-2</v>
      </c>
      <c r="F83" s="160">
        <v>4.3399999999999998E-5</v>
      </c>
      <c r="G83" s="159">
        <v>0.32890000000000003</v>
      </c>
      <c r="H83" s="159">
        <v>0.93</v>
      </c>
      <c r="I83" s="159">
        <v>445</v>
      </c>
      <c r="J83" s="220">
        <v>2.19</v>
      </c>
      <c r="K83" s="173"/>
      <c r="L83" s="174">
        <f t="shared" si="18"/>
        <v>1.2839757817812485</v>
      </c>
      <c r="M83" s="174">
        <f t="shared" si="19"/>
        <v>0.58629031131563858</v>
      </c>
      <c r="N83" s="174">
        <f t="shared" si="20"/>
        <v>0.29387454781008976</v>
      </c>
      <c r="O83" s="174">
        <f t="shared" si="1"/>
        <v>372.92680117100389</v>
      </c>
      <c r="P83" s="174">
        <f t="shared" si="2"/>
        <v>4.231140334321549</v>
      </c>
      <c r="Q83" s="175">
        <f t="shared" si="3"/>
        <v>4.231140334321549</v>
      </c>
      <c r="R83" s="176">
        <f t="shared" si="4"/>
        <v>2.1612275486741779</v>
      </c>
      <c r="S83" s="177">
        <f t="shared" si="5"/>
        <v>14.397777438881283</v>
      </c>
      <c r="T83" s="177">
        <f t="shared" si="6"/>
        <v>7.3542522303456703</v>
      </c>
      <c r="U83" s="167"/>
      <c r="V83" s="178">
        <f t="shared" si="21"/>
        <v>1.3018288771109072E-2</v>
      </c>
      <c r="W83" s="179">
        <f t="shared" si="22"/>
        <v>4.2277367786233443E-5</v>
      </c>
      <c r="X83" s="180">
        <f t="shared" si="7"/>
        <v>1.3294724159709526E-2</v>
      </c>
      <c r="Y83" s="180">
        <f t="shared" si="8"/>
        <v>6.469536946473355E-5</v>
      </c>
      <c r="Z83" s="181">
        <f t="shared" si="9"/>
        <v>1.0442158285673193</v>
      </c>
      <c r="AA83" s="181">
        <f t="shared" si="10"/>
        <v>2.3803405474007097E-3</v>
      </c>
      <c r="AB83" s="181">
        <f t="shared" si="11"/>
        <v>-4.5177712712435682E-2</v>
      </c>
      <c r="AC83" s="181">
        <f t="shared" si="23"/>
        <v>1.3120293477037873E-2</v>
      </c>
      <c r="AD83" s="181">
        <f t="shared" si="24"/>
        <v>6.3008861793587844E-5</v>
      </c>
      <c r="AE83" s="267"/>
      <c r="AF83" s="182">
        <f t="shared" si="12"/>
        <v>1.1345766303294943E-2</v>
      </c>
      <c r="AG83" s="182">
        <f t="shared" si="13"/>
        <v>5.4345492686330111E-3</v>
      </c>
      <c r="AH83" s="149">
        <f t="shared" si="14"/>
        <v>-5.2339604882663755</v>
      </c>
      <c r="AI83" s="149">
        <f t="shared" si="15"/>
        <v>5.2706715635061361</v>
      </c>
      <c r="AJ83" s="149">
        <f t="shared" si="16"/>
        <v>-3.885542507108207E-2</v>
      </c>
      <c r="AK83" s="149">
        <f t="shared" si="17"/>
        <v>-9.7138562677705174E-3</v>
      </c>
      <c r="AL83" s="148">
        <f t="shared" si="25"/>
        <v>0.23379819076272748</v>
      </c>
    </row>
    <row r="84" spans="1:38" ht="21" customHeight="1" x14ac:dyDescent="0.3">
      <c r="A84" s="172"/>
      <c r="B84" s="159">
        <v>51</v>
      </c>
      <c r="C84" s="159">
        <v>425.07</v>
      </c>
      <c r="D84" s="159">
        <v>223.68</v>
      </c>
      <c r="E84" s="160">
        <v>1.136E-2</v>
      </c>
      <c r="F84" s="160">
        <v>5.0800000000000002E-5</v>
      </c>
      <c r="G84" s="159">
        <v>0.44700000000000001</v>
      </c>
      <c r="H84" s="159">
        <v>0.76</v>
      </c>
      <c r="I84" s="159">
        <v>295</v>
      </c>
      <c r="J84" s="220">
        <v>1.37</v>
      </c>
      <c r="K84" s="173"/>
      <c r="L84" s="174">
        <f t="shared" si="18"/>
        <v>0.85511745871521483</v>
      </c>
      <c r="M84" s="174">
        <f t="shared" si="19"/>
        <v>0.62417332752935384</v>
      </c>
      <c r="N84" s="174">
        <f t="shared" si="20"/>
        <v>0.19799062856895186</v>
      </c>
      <c r="O84" s="174">
        <f t="shared" si="1"/>
        <v>251.25010765399992</v>
      </c>
      <c r="P84" s="174">
        <f t="shared" si="2"/>
        <v>0.34054663209349928</v>
      </c>
      <c r="Q84" s="175">
        <f t="shared" si="3"/>
        <v>0.34054663209349928</v>
      </c>
      <c r="R84" s="176">
        <f t="shared" si="4"/>
        <v>1.3504242983430563</v>
      </c>
      <c r="S84" s="177">
        <f t="shared" si="5"/>
        <v>1.7200138943692533</v>
      </c>
      <c r="T84" s="177">
        <f t="shared" si="6"/>
        <v>6.8206475634919261</v>
      </c>
      <c r="U84" s="167"/>
      <c r="V84" s="178">
        <f t="shared" si="21"/>
        <v>1.1232399936718873E-2</v>
      </c>
      <c r="W84" s="179">
        <f t="shared" si="22"/>
        <v>4.9665197440292956E-5</v>
      </c>
      <c r="X84" s="180">
        <f t="shared" si="7"/>
        <v>1.1383961417535324E-2</v>
      </c>
      <c r="Y84" s="180">
        <f t="shared" si="8"/>
        <v>6.9594672899340914E-5</v>
      </c>
      <c r="Z84" s="181">
        <f t="shared" si="9"/>
        <v>1.0440494700526946</v>
      </c>
      <c r="AA84" s="181">
        <f t="shared" si="10"/>
        <v>5.4459057354037574E-4</v>
      </c>
      <c r="AB84" s="181">
        <f t="shared" si="11"/>
        <v>-4.5007490766155567E-2</v>
      </c>
      <c r="AC84" s="181">
        <f t="shared" si="23"/>
        <v>1.1255825533934505E-2</v>
      </c>
      <c r="AD84" s="181">
        <f t="shared" si="24"/>
        <v>6.8036799107087017E-5</v>
      </c>
      <c r="AE84" s="267"/>
      <c r="AF84" s="182">
        <f t="shared" si="12"/>
        <v>1.3554089002121776E-3</v>
      </c>
      <c r="AG84" s="182">
        <f t="shared" si="13"/>
        <v>5.3694393930968903E-3</v>
      </c>
      <c r="AH84" s="149">
        <f t="shared" si="14"/>
        <v>-5.1822579571898633</v>
      </c>
      <c r="AI84" s="149">
        <f t="shared" si="15"/>
        <v>5.1865977503121652</v>
      </c>
      <c r="AJ84" s="149">
        <f t="shared" si="16"/>
        <v>-4.5959654044408901E-3</v>
      </c>
      <c r="AK84" s="149">
        <f t="shared" si="17"/>
        <v>-1.1489913511102225E-3</v>
      </c>
      <c r="AL84" s="148">
        <f t="shared" si="25"/>
        <v>0.24378854816581025</v>
      </c>
    </row>
    <row r="85" spans="1:38" ht="21" customHeight="1" x14ac:dyDescent="0.3">
      <c r="A85" s="172"/>
      <c r="B85" s="159">
        <v>49</v>
      </c>
      <c r="C85" s="159">
        <v>407.15</v>
      </c>
      <c r="D85" s="159">
        <v>327.3</v>
      </c>
      <c r="E85" s="160">
        <v>1.427E-2</v>
      </c>
      <c r="F85" s="160">
        <v>5.6140000000000001E-5</v>
      </c>
      <c r="G85" s="159">
        <v>0.39340000000000003</v>
      </c>
      <c r="H85" s="159">
        <v>0.75</v>
      </c>
      <c r="I85" s="159">
        <v>292</v>
      </c>
      <c r="J85" s="220">
        <v>1.58</v>
      </c>
      <c r="K85" s="173"/>
      <c r="L85" s="174">
        <f t="shared" si="18"/>
        <v>0.90256583527550216</v>
      </c>
      <c r="M85" s="174">
        <f t="shared" si="19"/>
        <v>0.571244199541457</v>
      </c>
      <c r="N85" s="174">
        <f t="shared" si="20"/>
        <v>0.18251797367571376</v>
      </c>
      <c r="O85" s="174">
        <f t="shared" ref="O85:O148" si="26">$M$12*N85</f>
        <v>231.61530859448075</v>
      </c>
      <c r="P85" s="174">
        <f t="shared" ref="P85:P148" si="27">O85*AF85</f>
        <v>4.0112342929279556</v>
      </c>
      <c r="Q85" s="175">
        <f t="shared" ref="Q85:Q148" si="28">P85/$M$15</f>
        <v>4.0112342929279556</v>
      </c>
      <c r="R85" s="176">
        <f t="shared" ref="R85:R148" si="29">SQRT(SUMSQ($M$13*N85*AF85/$M$15,AG85*$M$12*N85/$M$15,$M$16*$M$12*N85*AF85/($M$15*$M$15)))</f>
        <v>1.4567974144577733</v>
      </c>
      <c r="S85" s="177">
        <f t="shared" ref="S85:S148" si="30">$M$12*AF85/$M$15</f>
        <v>21.97720154429755</v>
      </c>
      <c r="T85" s="177">
        <f t="shared" ref="T85:T148" si="31">SQRT(SUMSQ($M$13*AF85/$M$15,AG85*$M$12/$M$15,$M$16*$M$12*AF85/($M$15*$M$15)))</f>
        <v>7.9816655046045915</v>
      </c>
      <c r="U85" s="167"/>
      <c r="V85" s="178">
        <f t="shared" si="21"/>
        <v>1.4069232058524851E-2</v>
      </c>
      <c r="W85" s="179">
        <f t="shared" si="22"/>
        <v>5.4571419160809669E-5</v>
      </c>
      <c r="X85" s="180">
        <f t="shared" ref="X85:X148" si="32">(E85+$AB$15*(E85-$AB$12*(E85+1)))/(1-$AB$15*(E85-$AB$12*(E85+1)))</f>
        <v>1.4422530279940433E-2</v>
      </c>
      <c r="Y85" s="180">
        <f t="shared" ref="Y85:Y148" si="33">SQRT(SUMSQ(Z85*F85, AA85*$AB$16, AB85*$AB$13))</f>
        <v>7.5363651060510764E-5</v>
      </c>
      <c r="Z85" s="181">
        <f t="shared" ref="Z85:Z148" si="34">((1+$AB$15-$AB$15*$AB$12)*(1-$AB$15*(E85-$AB$12*(E85+1)))-(E85+$AB$15*(E85-$AB$12*(E85+1)))*($AB$15*$AB$12-$AB$15))/((1-$AB$15*(E85-$AB$12*(E85+1)))*(1-$AB$15*(E85-$AB$12*(E85+1))))</f>
        <v>1.0443140260206389</v>
      </c>
      <c r="AA85" s="181">
        <f t="shared" ref="AA85:AA148" si="35">(E85+1)*(E85-E85*$AB$12-$AB$12)/((1-$AB$15*(E85-$AB$12*(E85+1)))*(1-$AB$15*(E85-$AB$12*(E85+1))))</f>
        <v>3.4671185931637702E-3</v>
      </c>
      <c r="AB85" s="181">
        <f t="shared" ref="AB85:AB148" si="36">(-$AB$15*(E85+1)*(E85+1))/((1-$AB$15*(E85-$AB$12*(E85+1)))*(1-$AB$15*(E85-$AB$12*(E85+1))))</f>
        <v>-4.5278335077340484E-2</v>
      </c>
      <c r="AC85" s="181">
        <f t="shared" si="23"/>
        <v>1.4217478269099946E-2</v>
      </c>
      <c r="AD85" s="181">
        <f t="shared" si="24"/>
        <v>7.3235922676891108E-5</v>
      </c>
      <c r="AE85" s="267"/>
      <c r="AF85" s="182">
        <f t="shared" ref="AF85:AF148" si="37">($AM$15-X85)/(($AM$15+1)*(X85-($AM$12/($AM$12+$AK$9))*(X85+1)))</f>
        <v>1.7318519735459063E-2</v>
      </c>
      <c r="AG85" s="182">
        <f t="shared" ref="AG85:AG148" si="38">SQRT(SUMSQ(AH85*$AM$16, AI85*Y85,AJ85*$AM$13,AK85*$AK$10))</f>
        <v>5.4882726706583463E-3</v>
      </c>
      <c r="AH85" s="149">
        <f t="shared" ref="AH85:AH148" si="39">(1+X85)/(POWER(($AM$15+1),2)*(X85-($AM$12/($AM$12+$AK$9))*(X85+1)))</f>
        <v>-5.2648709409638448</v>
      </c>
      <c r="AI85" s="149">
        <f t="shared" ref="AI85:AI148" si="40">(($AM$12/($AM$12+$AK$9))*(1+$AM$15)-$AM$15)/(($AM$15+1)*POWER((X85-($AM$12/($AM$12+$AK$9))*(X85+1)),2))</f>
        <v>5.3212581034387307</v>
      </c>
      <c r="AJ85" s="149">
        <f t="shared" ref="AJ85:AJ148" si="41">(1/$AK$9)*($AM$15*$AM$15*X85-$AM$15*X85*X85+$AM$15*$AM$15-X85*X85+$AM$15-X85)/POWER(($AM$15+1)*(X85-($AM$12/($AM$12+$AK$9))*(X85+1))*(($AM$12/$AK$9)+1),2)</f>
        <v>-5.9660362704885672E-2</v>
      </c>
      <c r="AK85" s="149">
        <f t="shared" ref="AK85:AK148" si="42">$AM$12*($AM$15*$AM$15*X85-$AM$15*X85*X85+$AM$15*$AM$15-X85*X85+$AM$15-X85)/POWER(($AM$15+1)*(X85-($AM$12/($AM$12+$AK$9))*(X85+1))*(($AM$12/$AK$9)+1),2)</f>
        <v>-1.4915090676221418E-2</v>
      </c>
      <c r="AL85" s="148">
        <f t="shared" si="25"/>
        <v>0.22782543733056337</v>
      </c>
    </row>
    <row r="86" spans="1:38" ht="21" customHeight="1" x14ac:dyDescent="0.3">
      <c r="A86" s="172"/>
      <c r="B86" s="159">
        <v>6</v>
      </c>
      <c r="C86" s="159">
        <v>80.02</v>
      </c>
      <c r="D86" s="159">
        <v>489.9</v>
      </c>
      <c r="E86" s="160">
        <v>4.684E-2</v>
      </c>
      <c r="F86" s="160">
        <v>7.1390000000000006E-5</v>
      </c>
      <c r="G86" s="159">
        <v>0.15240000000000001</v>
      </c>
      <c r="H86" s="159">
        <v>1.0900000000000001</v>
      </c>
      <c r="I86" s="159">
        <v>614</v>
      </c>
      <c r="J86" s="220">
        <v>2.33</v>
      </c>
      <c r="K86" s="173"/>
      <c r="L86" s="174">
        <f t="shared" ref="L86:L149" si="43">J86*SQRT(I86/(J86-1+PI()/4))*$D$15/$D$16</f>
        <v>1.5506153533576077</v>
      </c>
      <c r="M86" s="174">
        <f t="shared" ref="M86:M149" si="44">SQRT(I86/(J86-1+PI()/4))*$D$15/$D$16</f>
        <v>0.6655001516556257</v>
      </c>
      <c r="N86" s="174">
        <f t="shared" ref="N86:N149" si="45">0.5*PI()*M86*M86*(M86/3+(L86-M86)/2)</f>
        <v>0.4622106258858294</v>
      </c>
      <c r="O86" s="174">
        <f t="shared" si="26"/>
        <v>586.54528424911746</v>
      </c>
      <c r="P86" s="174">
        <f t="shared" si="27"/>
        <v>134.43931455742623</v>
      </c>
      <c r="Q86" s="175">
        <f t="shared" si="28"/>
        <v>134.43931455742623</v>
      </c>
      <c r="R86" s="176">
        <f t="shared" si="29"/>
        <v>24.781502890075238</v>
      </c>
      <c r="S86" s="177">
        <f t="shared" si="30"/>
        <v>290.86158350378145</v>
      </c>
      <c r="T86" s="177">
        <f t="shared" si="31"/>
        <v>53.61517347763553</v>
      </c>
      <c r="U86" s="167"/>
      <c r="V86" s="178">
        <f t="shared" ref="V86:V149" si="46">E86/(E86+1)</f>
        <v>4.4744182492071377E-2</v>
      </c>
      <c r="W86" s="179">
        <f t="shared" ref="W86:W149" si="47">ABS(F86/((E86+1)*(E86+1)))</f>
        <v>6.5144351392658892E-5</v>
      </c>
      <c r="X86" s="180">
        <f t="shared" si="32"/>
        <v>4.8484136076466906E-2</v>
      </c>
      <c r="Y86" s="180">
        <f t="shared" si="33"/>
        <v>1.7418416159814868E-4</v>
      </c>
      <c r="Z86" s="181">
        <f t="shared" si="34"/>
        <v>1.0472819265384996</v>
      </c>
      <c r="AA86" s="181">
        <f t="shared" si="35"/>
        <v>3.7425416094813507E-2</v>
      </c>
      <c r="AB86" s="181">
        <f t="shared" si="36"/>
        <v>-4.8370035278576667E-2</v>
      </c>
      <c r="AC86" s="181">
        <f t="shared" ref="AC86:AC149" si="48">X86/(X86+1)</f>
        <v>4.6242126521722514E-2</v>
      </c>
      <c r="AD86" s="181">
        <f t="shared" ref="AD86:AD149" si="49">Y86/((X86+1)*(X86+1))</f>
        <v>1.5844733348195449E-4</v>
      </c>
      <c r="AE86" s="267"/>
      <c r="AF86" s="182">
        <f t="shared" si="37"/>
        <v>0.22920534555065519</v>
      </c>
      <c r="AG86" s="182">
        <f t="shared" si="38"/>
        <v>1.1474004359674344E-2</v>
      </c>
      <c r="AH86" s="149">
        <f t="shared" si="39"/>
        <v>-6.3614368348960433</v>
      </c>
      <c r="AI86" s="149">
        <f t="shared" si="40"/>
        <v>7.2721587125603886</v>
      </c>
      <c r="AJ86" s="149">
        <f t="shared" si="41"/>
        <v>-0.95404168797341937</v>
      </c>
      <c r="AK86" s="149">
        <f t="shared" si="42"/>
        <v>-0.23851042199335484</v>
      </c>
      <c r="AL86" s="148">
        <f t="shared" ref="AL86:AL149" si="50">ABS(AF86-$AF$18)</f>
        <v>1.593861151536724E-2</v>
      </c>
    </row>
    <row r="87" spans="1:38" ht="21" customHeight="1" x14ac:dyDescent="0.3">
      <c r="A87" s="172"/>
      <c r="B87" s="159">
        <v>7</v>
      </c>
      <c r="C87" s="159">
        <v>83.64</v>
      </c>
      <c r="D87" s="159">
        <v>451.9</v>
      </c>
      <c r="E87" s="160">
        <v>1.2579999999999999E-2</v>
      </c>
      <c r="F87" s="160">
        <v>6.2700000000000006E-5</v>
      </c>
      <c r="G87" s="159">
        <v>0.4985</v>
      </c>
      <c r="H87" s="159">
        <v>0.62</v>
      </c>
      <c r="I87" s="159">
        <v>197</v>
      </c>
      <c r="J87" s="220">
        <v>1.94</v>
      </c>
      <c r="K87" s="173"/>
      <c r="L87" s="174">
        <f t="shared" si="43"/>
        <v>0.80974861151045707</v>
      </c>
      <c r="M87" s="174">
        <f t="shared" si="44"/>
        <v>0.4173961915002356</v>
      </c>
      <c r="N87" s="174">
        <f t="shared" si="45"/>
        <v>9.1761628215002666E-2</v>
      </c>
      <c r="O87" s="174">
        <f t="shared" si="26"/>
        <v>116.44550620483838</v>
      </c>
      <c r="P87" s="174">
        <f t="shared" si="27"/>
        <v>0.9312841981836063</v>
      </c>
      <c r="Q87" s="175">
        <f t="shared" si="28"/>
        <v>0.9312841981836063</v>
      </c>
      <c r="R87" s="176">
        <f t="shared" si="29"/>
        <v>0.65188454152345365</v>
      </c>
      <c r="S87" s="177">
        <f t="shared" si="30"/>
        <v>10.148950234422115</v>
      </c>
      <c r="T87" s="177">
        <f t="shared" si="31"/>
        <v>7.104108266213971</v>
      </c>
      <c r="U87" s="167"/>
      <c r="V87" s="178">
        <f t="shared" si="46"/>
        <v>1.2423709731576763E-2</v>
      </c>
      <c r="W87" s="179">
        <f t="shared" si="47"/>
        <v>6.1151744454591381E-5</v>
      </c>
      <c r="X87" s="180">
        <f t="shared" si="32"/>
        <v>1.2657769418971078E-2</v>
      </c>
      <c r="Y87" s="180">
        <f t="shared" si="33"/>
        <v>7.9825193200832247E-5</v>
      </c>
      <c r="Z87" s="181">
        <f t="shared" si="34"/>
        <v>1.0441603713114658</v>
      </c>
      <c r="AA87" s="181">
        <f t="shared" si="35"/>
        <v>1.7676225434996489E-3</v>
      </c>
      <c r="AB87" s="181">
        <f t="shared" si="36"/>
        <v>-4.5120933350442663E-2</v>
      </c>
      <c r="AC87" s="181">
        <f t="shared" si="48"/>
        <v>1.249955295976614E-2</v>
      </c>
      <c r="AD87" s="181">
        <f t="shared" si="49"/>
        <v>7.7842106535284261E-5</v>
      </c>
      <c r="AE87" s="267"/>
      <c r="AF87" s="182">
        <f t="shared" si="37"/>
        <v>7.9975967174327148E-3</v>
      </c>
      <c r="AG87" s="182">
        <f t="shared" si="38"/>
        <v>5.4154181829004127E-3</v>
      </c>
      <c r="AH87" s="149">
        <f t="shared" si="39"/>
        <v>-5.2166328957611201</v>
      </c>
      <c r="AI87" s="149">
        <f t="shared" si="40"/>
        <v>5.2424197483584569</v>
      </c>
      <c r="AJ87" s="149">
        <f t="shared" si="41"/>
        <v>-2.7298398376930887E-2</v>
      </c>
      <c r="AK87" s="149">
        <f t="shared" si="42"/>
        <v>-6.8245995942327218E-3</v>
      </c>
      <c r="AL87" s="148">
        <f t="shared" si="50"/>
        <v>0.23714636034858971</v>
      </c>
    </row>
    <row r="88" spans="1:38" ht="21" customHeight="1" x14ac:dyDescent="0.3">
      <c r="A88" s="172"/>
      <c r="B88" s="159">
        <v>44</v>
      </c>
      <c r="C88" s="159">
        <v>372.37</v>
      </c>
      <c r="D88" s="159">
        <v>55.79</v>
      </c>
      <c r="E88" s="160">
        <v>1.1950000000000001E-2</v>
      </c>
      <c r="F88" s="160">
        <v>4.9299999999999999E-5</v>
      </c>
      <c r="G88" s="159">
        <v>0.41260000000000002</v>
      </c>
      <c r="H88" s="159">
        <v>0.8</v>
      </c>
      <c r="I88" s="159">
        <v>325</v>
      </c>
      <c r="J88" s="220">
        <v>1.35</v>
      </c>
      <c r="K88" s="173"/>
      <c r="L88" s="174">
        <f t="shared" si="43"/>
        <v>0.89219829708808018</v>
      </c>
      <c r="M88" s="174">
        <f t="shared" si="44"/>
        <v>0.66088762747265184</v>
      </c>
      <c r="N88" s="174">
        <f t="shared" si="45"/>
        <v>0.23048959800191673</v>
      </c>
      <c r="O88" s="174">
        <f t="shared" si="26"/>
        <v>292.49129986443234</v>
      </c>
      <c r="P88" s="174">
        <f t="shared" si="27"/>
        <v>1.3333650224673261</v>
      </c>
      <c r="Q88" s="175">
        <f t="shared" si="28"/>
        <v>1.3333650224673261</v>
      </c>
      <c r="R88" s="176">
        <f t="shared" si="29"/>
        <v>1.593667375193407</v>
      </c>
      <c r="S88" s="177">
        <f t="shared" si="30"/>
        <v>5.7849249338195206</v>
      </c>
      <c r="T88" s="177">
        <f t="shared" si="31"/>
        <v>6.9142702708004817</v>
      </c>
      <c r="U88" s="167"/>
      <c r="V88" s="178">
        <f t="shared" si="46"/>
        <v>1.1808883838134297E-2</v>
      </c>
      <c r="W88" s="179">
        <f t="shared" si="47"/>
        <v>4.8142518925618839E-5</v>
      </c>
      <c r="X88" s="180">
        <f t="shared" si="32"/>
        <v>1.1999966425622302E-2</v>
      </c>
      <c r="Y88" s="180">
        <f t="shared" si="33"/>
        <v>6.8562753065269931E-5</v>
      </c>
      <c r="Z88" s="181">
        <f t="shared" si="34"/>
        <v>1.0441031004223684</v>
      </c>
      <c r="AA88" s="181">
        <f t="shared" si="35"/>
        <v>1.1356566541685206E-3</v>
      </c>
      <c r="AB88" s="181">
        <f t="shared" si="36"/>
        <v>-4.5062333010000254E-2</v>
      </c>
      <c r="AC88" s="181">
        <f t="shared" si="48"/>
        <v>1.1857674727012206E-2</v>
      </c>
      <c r="AD88" s="181">
        <f t="shared" si="49"/>
        <v>6.694640364497761E-5</v>
      </c>
      <c r="AE88" s="267"/>
      <c r="AF88" s="182">
        <f t="shared" si="37"/>
        <v>4.5586484900075027E-3</v>
      </c>
      <c r="AG88" s="182">
        <f t="shared" si="38"/>
        <v>5.3882444964560147E-3</v>
      </c>
      <c r="AH88" s="149">
        <f t="shared" si="39"/>
        <v>-5.1988355016915042</v>
      </c>
      <c r="AI88" s="149">
        <f t="shared" si="40"/>
        <v>5.2134809808849889</v>
      </c>
      <c r="AJ88" s="149">
        <f t="shared" si="41"/>
        <v>-1.550706375809676E-2</v>
      </c>
      <c r="AK88" s="149">
        <f t="shared" si="42"/>
        <v>-3.8767659395241901E-3</v>
      </c>
      <c r="AL88" s="148">
        <f t="shared" si="50"/>
        <v>0.24058530857601493</v>
      </c>
    </row>
    <row r="89" spans="1:38" ht="21" customHeight="1" x14ac:dyDescent="0.3">
      <c r="A89" s="172"/>
      <c r="B89" s="159">
        <v>42</v>
      </c>
      <c r="C89" s="159">
        <v>368.79</v>
      </c>
      <c r="D89" s="159">
        <v>400.76</v>
      </c>
      <c r="E89" s="160">
        <v>0.10780000000000001</v>
      </c>
      <c r="F89" s="160">
        <v>1.236E-4</v>
      </c>
      <c r="G89" s="159">
        <v>0.11459999999999999</v>
      </c>
      <c r="H89" s="159">
        <v>0.98</v>
      </c>
      <c r="I89" s="159">
        <v>490</v>
      </c>
      <c r="J89" s="220">
        <v>1.42</v>
      </c>
      <c r="K89" s="173"/>
      <c r="L89" s="174">
        <f t="shared" si="43"/>
        <v>1.1183587921621525</v>
      </c>
      <c r="M89" s="174">
        <f t="shared" si="44"/>
        <v>0.78757661419869895</v>
      </c>
      <c r="N89" s="174">
        <f t="shared" si="45"/>
        <v>0.41693145633585688</v>
      </c>
      <c r="O89" s="174">
        <f t="shared" si="26"/>
        <v>529.0860180902024</v>
      </c>
      <c r="P89" s="174">
        <f t="shared" si="27"/>
        <v>482.22152400343657</v>
      </c>
      <c r="Q89" s="175">
        <f t="shared" si="28"/>
        <v>482.22152400343657</v>
      </c>
      <c r="R89" s="176">
        <f t="shared" si="29"/>
        <v>91.053634437950322</v>
      </c>
      <c r="S89" s="177">
        <f t="shared" si="30"/>
        <v>1156.5966459843837</v>
      </c>
      <c r="T89" s="177">
        <f t="shared" si="31"/>
        <v>218.38993689313423</v>
      </c>
      <c r="U89" s="167"/>
      <c r="V89" s="178">
        <f t="shared" si="46"/>
        <v>9.7309983751579704E-2</v>
      </c>
      <c r="W89" s="179">
        <f t="shared" si="47"/>
        <v>1.0071536920771324E-4</v>
      </c>
      <c r="X89" s="180">
        <f t="shared" si="32"/>
        <v>0.11249656864703646</v>
      </c>
      <c r="Y89" s="180">
        <f t="shared" si="33"/>
        <v>4.5138130545171367E-4</v>
      </c>
      <c r="Z89" s="181">
        <f t="shared" si="34"/>
        <v>1.0528709358639097</v>
      </c>
      <c r="AA89" s="181">
        <f t="shared" si="35"/>
        <v>0.10719272645709152</v>
      </c>
      <c r="AB89" s="181">
        <f t="shared" si="36"/>
        <v>-5.4456539071062939E-2</v>
      </c>
      <c r="AC89" s="181">
        <f t="shared" si="48"/>
        <v>0.10112082303664922</v>
      </c>
      <c r="AD89" s="181">
        <f t="shared" si="49"/>
        <v>3.6470877104323733E-4</v>
      </c>
      <c r="AE89" s="267"/>
      <c r="AF89" s="182">
        <f t="shared" si="37"/>
        <v>0.91142367689864745</v>
      </c>
      <c r="AG89" s="182">
        <f t="shared" si="38"/>
        <v>5.893360337526217E-2</v>
      </c>
      <c r="AH89" s="149">
        <f t="shared" si="39"/>
        <v>-9.8920827421787383</v>
      </c>
      <c r="AI89" s="149">
        <f t="shared" si="40"/>
        <v>15.619055144781731</v>
      </c>
      <c r="AJ89" s="149">
        <f t="shared" si="41"/>
        <v>-5.8992314775368389</v>
      </c>
      <c r="AK89" s="149">
        <f t="shared" si="42"/>
        <v>-1.4748078693842097</v>
      </c>
      <c r="AL89" s="148">
        <f t="shared" si="50"/>
        <v>0.66627971983262502</v>
      </c>
    </row>
    <row r="90" spans="1:38" ht="21" customHeight="1" x14ac:dyDescent="0.3">
      <c r="A90" s="172"/>
      <c r="B90" s="159">
        <v>41</v>
      </c>
      <c r="C90" s="159">
        <v>365.3</v>
      </c>
      <c r="D90" s="159">
        <v>29.55</v>
      </c>
      <c r="E90" s="160">
        <v>4.8259999999999997E-2</v>
      </c>
      <c r="F90" s="160">
        <v>7.5699999999999997E-5</v>
      </c>
      <c r="G90" s="159">
        <v>0.15690000000000001</v>
      </c>
      <c r="H90" s="159">
        <v>1.07</v>
      </c>
      <c r="I90" s="159">
        <v>592</v>
      </c>
      <c r="J90" s="220">
        <v>1.42</v>
      </c>
      <c r="K90" s="173"/>
      <c r="L90" s="174">
        <f t="shared" si="43"/>
        <v>1.2292606220563362</v>
      </c>
      <c r="M90" s="174">
        <f t="shared" si="44"/>
        <v>0.86567649440587058</v>
      </c>
      <c r="N90" s="174">
        <f t="shared" si="45"/>
        <v>0.55367269043582512</v>
      </c>
      <c r="O90" s="174">
        <f t="shared" si="26"/>
        <v>702.61064416306203</v>
      </c>
      <c r="P90" s="174">
        <f t="shared" si="27"/>
        <v>168.69762306595194</v>
      </c>
      <c r="Q90" s="175">
        <f t="shared" si="28"/>
        <v>168.69762306595194</v>
      </c>
      <c r="R90" s="176">
        <f t="shared" si="29"/>
        <v>31.082836604549691</v>
      </c>
      <c r="S90" s="177">
        <f t="shared" si="30"/>
        <v>304.68835826661621</v>
      </c>
      <c r="T90" s="177">
        <f t="shared" si="31"/>
        <v>56.139371042633044</v>
      </c>
      <c r="U90" s="167"/>
      <c r="V90" s="178">
        <f t="shared" si="46"/>
        <v>4.603819663060691E-2</v>
      </c>
      <c r="W90" s="179">
        <f t="shared" si="47"/>
        <v>6.8890264357185284E-5</v>
      </c>
      <c r="X90" s="180">
        <f t="shared" si="32"/>
        <v>4.9971368484543456E-2</v>
      </c>
      <c r="Y90" s="180">
        <f t="shared" si="33"/>
        <v>1.814486871204369E-4</v>
      </c>
      <c r="Z90" s="181">
        <f t="shared" si="34"/>
        <v>1.0474116099780642</v>
      </c>
      <c r="AA90" s="181">
        <f t="shared" si="35"/>
        <v>3.8958237063354703E-2</v>
      </c>
      <c r="AB90" s="181">
        <f t="shared" si="36"/>
        <v>-4.8507354484041407E-2</v>
      </c>
      <c r="AC90" s="181">
        <f t="shared" si="48"/>
        <v>4.7593077282353603E-2</v>
      </c>
      <c r="AD90" s="181">
        <f t="shared" si="49"/>
        <v>1.6458828394621722E-4</v>
      </c>
      <c r="AE90" s="267"/>
      <c r="AF90" s="182">
        <f t="shared" si="37"/>
        <v>0.24010114914626965</v>
      </c>
      <c r="AG90" s="182">
        <f t="shared" si="38"/>
        <v>1.1948093127714981E-2</v>
      </c>
      <c r="AH90" s="149">
        <f t="shared" si="39"/>
        <v>-6.4178252703920533</v>
      </c>
      <c r="AI90" s="149">
        <f t="shared" si="40"/>
        <v>7.3806991427234214</v>
      </c>
      <c r="AJ90" s="149">
        <f t="shared" si="41"/>
        <v>-1.008252989520013</v>
      </c>
      <c r="AK90" s="149">
        <f t="shared" si="42"/>
        <v>-0.25206324738000324</v>
      </c>
      <c r="AL90" s="148">
        <f t="shared" si="50"/>
        <v>5.0428079197527842E-3</v>
      </c>
    </row>
    <row r="91" spans="1:38" ht="21" customHeight="1" x14ac:dyDescent="0.3">
      <c r="A91" s="172"/>
      <c r="B91" s="159">
        <v>11</v>
      </c>
      <c r="C91" s="159">
        <v>97.81</v>
      </c>
      <c r="D91" s="159">
        <v>199.44</v>
      </c>
      <c r="E91" s="160">
        <v>1.2800000000000001E-2</v>
      </c>
      <c r="F91" s="160">
        <v>5.8E-5</v>
      </c>
      <c r="G91" s="159">
        <v>0.4531</v>
      </c>
      <c r="H91" s="159">
        <v>0.73</v>
      </c>
      <c r="I91" s="159">
        <v>276</v>
      </c>
      <c r="J91" s="220">
        <v>1.83</v>
      </c>
      <c r="K91" s="173"/>
      <c r="L91" s="174">
        <f t="shared" si="43"/>
        <v>0.93438503251632221</v>
      </c>
      <c r="M91" s="174">
        <f t="shared" si="44"/>
        <v>0.51059291394334538</v>
      </c>
      <c r="N91" s="174">
        <f t="shared" si="45"/>
        <v>0.15647296700682531</v>
      </c>
      <c r="O91" s="174">
        <f t="shared" si="26"/>
        <v>198.56419513166131</v>
      </c>
      <c r="P91" s="174">
        <f t="shared" si="27"/>
        <v>1.8273940113253984</v>
      </c>
      <c r="Q91" s="175">
        <f t="shared" si="28"/>
        <v>1.8273940113253984</v>
      </c>
      <c r="R91" s="176">
        <f t="shared" si="29"/>
        <v>1.1244631310794015</v>
      </c>
      <c r="S91" s="177">
        <f t="shared" si="30"/>
        <v>11.678656360147425</v>
      </c>
      <c r="T91" s="177">
        <f t="shared" si="31"/>
        <v>7.1863092557729331</v>
      </c>
      <c r="U91" s="167"/>
      <c r="V91" s="178">
        <f t="shared" si="46"/>
        <v>1.2638230647709322E-2</v>
      </c>
      <c r="W91" s="179">
        <f t="shared" si="47"/>
        <v>5.6543229287552206E-5</v>
      </c>
      <c r="X91" s="180">
        <f t="shared" si="32"/>
        <v>1.2887486900700565E-2</v>
      </c>
      <c r="Y91" s="180">
        <f t="shared" si="33"/>
        <v>7.595278221848853E-5</v>
      </c>
      <c r="Z91" s="181">
        <f t="shared" si="34"/>
        <v>1.0441803717796267</v>
      </c>
      <c r="AA91" s="181">
        <f t="shared" si="35"/>
        <v>1.9885104074062387E-3</v>
      </c>
      <c r="AB91" s="181">
        <f t="shared" si="36"/>
        <v>-4.5141406689280739E-2</v>
      </c>
      <c r="AC91" s="181">
        <f t="shared" si="48"/>
        <v>1.2723512796208532E-2</v>
      </c>
      <c r="AD91" s="181">
        <f t="shared" si="49"/>
        <v>7.4032305652696172E-5</v>
      </c>
      <c r="AE91" s="267"/>
      <c r="AF91" s="182">
        <f t="shared" si="37"/>
        <v>9.2030388968852832E-3</v>
      </c>
      <c r="AG91" s="182">
        <f t="shared" si="38"/>
        <v>5.4225131915037698E-3</v>
      </c>
      <c r="AH91" s="149">
        <f t="shared" si="39"/>
        <v>-5.2228713524278323</v>
      </c>
      <c r="AI91" s="149">
        <f t="shared" si="40"/>
        <v>5.2525825086899021</v>
      </c>
      <c r="AJ91" s="149">
        <f t="shared" si="41"/>
        <v>-3.145053061358008E-2</v>
      </c>
      <c r="AK91" s="149">
        <f t="shared" si="42"/>
        <v>-7.86263265339502E-3</v>
      </c>
      <c r="AL91" s="148">
        <f t="shared" si="50"/>
        <v>0.23594091816913715</v>
      </c>
    </row>
    <row r="92" spans="1:38" ht="21" customHeight="1" x14ac:dyDescent="0.3">
      <c r="A92" s="172"/>
      <c r="B92" s="159">
        <v>12</v>
      </c>
      <c r="C92" s="159">
        <v>107.47</v>
      </c>
      <c r="D92" s="159">
        <v>481.77</v>
      </c>
      <c r="E92" s="160">
        <v>1.252E-2</v>
      </c>
      <c r="F92" s="160">
        <v>4.6829999999999997E-5</v>
      </c>
      <c r="G92" s="159">
        <v>0.37390000000000001</v>
      </c>
      <c r="H92" s="159">
        <v>0.84</v>
      </c>
      <c r="I92" s="159">
        <v>364</v>
      </c>
      <c r="J92" s="220">
        <v>1.73</v>
      </c>
      <c r="K92" s="173"/>
      <c r="L92" s="174">
        <f t="shared" si="43"/>
        <v>1.0473538931068551</v>
      </c>
      <c r="M92" s="174">
        <f t="shared" si="44"/>
        <v>0.60540687462823994</v>
      </c>
      <c r="N92" s="174">
        <f t="shared" si="45"/>
        <v>0.24340230929023879</v>
      </c>
      <c r="O92" s="174">
        <f t="shared" si="26"/>
        <v>308.87753048931302</v>
      </c>
      <c r="P92" s="174">
        <f t="shared" si="27"/>
        <v>2.3688585774885236</v>
      </c>
      <c r="Q92" s="175">
        <f t="shared" si="28"/>
        <v>2.3688585774885236</v>
      </c>
      <c r="R92" s="176">
        <f t="shared" si="29"/>
        <v>1.7225525714327858</v>
      </c>
      <c r="S92" s="177">
        <f t="shared" si="30"/>
        <v>9.7322765112464058</v>
      </c>
      <c r="T92" s="177">
        <f t="shared" si="31"/>
        <v>7.0769771102655081</v>
      </c>
      <c r="U92" s="167"/>
      <c r="V92" s="178">
        <f t="shared" si="46"/>
        <v>1.236518784814127E-2</v>
      </c>
      <c r="W92" s="179">
        <f t="shared" si="47"/>
        <v>4.5679036713419523E-5</v>
      </c>
      <c r="X92" s="180">
        <f t="shared" si="32"/>
        <v>1.2595119960329807E-2</v>
      </c>
      <c r="Y92" s="180">
        <f t="shared" si="33"/>
        <v>6.6880719103441436E-5</v>
      </c>
      <c r="Z92" s="181">
        <f t="shared" si="34"/>
        <v>1.0441549167380619</v>
      </c>
      <c r="AA92" s="181">
        <f t="shared" si="35"/>
        <v>1.7073984900315383E-3</v>
      </c>
      <c r="AB92" s="181">
        <f t="shared" si="36"/>
        <v>-4.5115350586568889E-2</v>
      </c>
      <c r="AC92" s="181">
        <f t="shared" si="48"/>
        <v>1.2438456113459487E-2</v>
      </c>
      <c r="AD92" s="181">
        <f t="shared" si="49"/>
        <v>6.5227280787827862E-5</v>
      </c>
      <c r="AE92" s="267"/>
      <c r="AF92" s="182">
        <f t="shared" si="37"/>
        <v>7.6692486298238025E-3</v>
      </c>
      <c r="AG92" s="182">
        <f t="shared" si="38"/>
        <v>5.4083021884243545E-3</v>
      </c>
      <c r="AH92" s="149">
        <f t="shared" si="39"/>
        <v>-5.2149336144923373</v>
      </c>
      <c r="AI92" s="149">
        <f t="shared" si="40"/>
        <v>5.2396532388970503</v>
      </c>
      <c r="AJ92" s="149">
        <f t="shared" si="41"/>
        <v>-2.6169112395749771E-2</v>
      </c>
      <c r="AK92" s="149">
        <f t="shared" si="42"/>
        <v>-6.5422780989374428E-3</v>
      </c>
      <c r="AL92" s="148">
        <f t="shared" si="50"/>
        <v>0.23747470843619864</v>
      </c>
    </row>
    <row r="93" spans="1:38" ht="21" customHeight="1" x14ac:dyDescent="0.3">
      <c r="A93" s="172"/>
      <c r="B93" s="159">
        <v>13</v>
      </c>
      <c r="C93" s="159">
        <v>112.98</v>
      </c>
      <c r="D93" s="159">
        <v>174.94</v>
      </c>
      <c r="E93" s="160">
        <v>1.208E-2</v>
      </c>
      <c r="F93" s="160">
        <v>5.0019999999999999E-5</v>
      </c>
      <c r="G93" s="159">
        <v>0.41410000000000002</v>
      </c>
      <c r="H93" s="159">
        <v>0.78</v>
      </c>
      <c r="I93" s="159">
        <v>316</v>
      </c>
      <c r="J93" s="220">
        <v>2.35</v>
      </c>
      <c r="K93" s="173"/>
      <c r="L93" s="174">
        <f t="shared" si="43"/>
        <v>1.1166884027406292</v>
      </c>
      <c r="M93" s="174">
        <f t="shared" si="44"/>
        <v>0.47518655435771451</v>
      </c>
      <c r="N93" s="174">
        <f t="shared" si="45"/>
        <v>0.16994814633772512</v>
      </c>
      <c r="O93" s="174">
        <f t="shared" si="26"/>
        <v>215.66419770257318</v>
      </c>
      <c r="P93" s="174">
        <f t="shared" si="27"/>
        <v>1.1358385911766871</v>
      </c>
      <c r="Q93" s="175">
        <f t="shared" si="28"/>
        <v>1.1358385911766871</v>
      </c>
      <c r="R93" s="176">
        <f t="shared" si="29"/>
        <v>1.1803984782171841</v>
      </c>
      <c r="S93" s="177">
        <f t="shared" si="30"/>
        <v>6.6834420713216884</v>
      </c>
      <c r="T93" s="177">
        <f t="shared" si="31"/>
        <v>6.9456390296335897</v>
      </c>
      <c r="U93" s="167"/>
      <c r="V93" s="178">
        <f t="shared" si="46"/>
        <v>1.1935815350565171E-2</v>
      </c>
      <c r="W93" s="179">
        <f t="shared" si="47"/>
        <v>4.8833067066007348E-5</v>
      </c>
      <c r="X93" s="180">
        <f t="shared" si="32"/>
        <v>1.213570059680712E-2</v>
      </c>
      <c r="Y93" s="180">
        <f t="shared" si="33"/>
        <v>6.917346293530383E-5</v>
      </c>
      <c r="Z93" s="181">
        <f t="shared" si="34"/>
        <v>1.0441149178390459</v>
      </c>
      <c r="AA93" s="181">
        <f t="shared" si="35"/>
        <v>1.2659923257286947E-3</v>
      </c>
      <c r="AB93" s="181">
        <f t="shared" si="36"/>
        <v>-4.507442176259395E-2</v>
      </c>
      <c r="AC93" s="181">
        <f t="shared" si="48"/>
        <v>1.1990191225990043E-2</v>
      </c>
      <c r="AD93" s="181">
        <f t="shared" si="49"/>
        <v>6.7524601539740626E-5</v>
      </c>
      <c r="AE93" s="267"/>
      <c r="AF93" s="182">
        <f t="shared" si="37"/>
        <v>5.2666998197964448E-3</v>
      </c>
      <c r="AG93" s="182">
        <f t="shared" si="38"/>
        <v>5.3929780133079863E-3</v>
      </c>
      <c r="AH93" s="149">
        <f t="shared" si="39"/>
        <v>-5.2024998396531164</v>
      </c>
      <c r="AI93" s="149">
        <f t="shared" si="40"/>
        <v>5.2194326888683635</v>
      </c>
      <c r="AJ93" s="149">
        <f t="shared" si="41"/>
        <v>-1.7928255481187864E-2</v>
      </c>
      <c r="AK93" s="149">
        <f t="shared" si="42"/>
        <v>-4.4820638702969661E-3</v>
      </c>
      <c r="AL93" s="148">
        <f t="shared" si="50"/>
        <v>0.23987725724622599</v>
      </c>
    </row>
    <row r="94" spans="1:38" ht="21" customHeight="1" x14ac:dyDescent="0.3">
      <c r="A94" s="172"/>
      <c r="B94" s="159">
        <v>14</v>
      </c>
      <c r="C94" s="159">
        <v>113.79</v>
      </c>
      <c r="D94" s="159">
        <v>399.61</v>
      </c>
      <c r="E94" s="160">
        <v>1.355E-2</v>
      </c>
      <c r="F94" s="160">
        <v>4.0750000000000001E-5</v>
      </c>
      <c r="G94" s="159">
        <v>0.30070000000000002</v>
      </c>
      <c r="H94" s="159">
        <v>0.98</v>
      </c>
      <c r="I94" s="159">
        <v>493</v>
      </c>
      <c r="J94" s="220">
        <v>2.23</v>
      </c>
      <c r="K94" s="173"/>
      <c r="L94" s="174">
        <f t="shared" si="43"/>
        <v>1.3624103309165054</v>
      </c>
      <c r="M94" s="174">
        <f t="shared" si="44"/>
        <v>0.61094633673385879</v>
      </c>
      <c r="N94" s="174">
        <f t="shared" si="45"/>
        <v>0.33969573042370593</v>
      </c>
      <c r="O94" s="174">
        <f t="shared" si="26"/>
        <v>431.07388190768285</v>
      </c>
      <c r="P94" s="174">
        <f t="shared" si="27"/>
        <v>5.746338907533433</v>
      </c>
      <c r="Q94" s="175">
        <f t="shared" si="28"/>
        <v>5.746338907533433</v>
      </c>
      <c r="R94" s="176">
        <f t="shared" si="29"/>
        <v>2.5608936320529296</v>
      </c>
      <c r="S94" s="177">
        <f t="shared" si="30"/>
        <v>16.916135214198793</v>
      </c>
      <c r="T94" s="177">
        <f t="shared" si="31"/>
        <v>7.5387866337286642</v>
      </c>
      <c r="U94" s="167"/>
      <c r="V94" s="178">
        <f t="shared" si="46"/>
        <v>1.3368852054659366E-2</v>
      </c>
      <c r="W94" s="179">
        <f t="shared" si="47"/>
        <v>3.9667721650409587E-5</v>
      </c>
      <c r="X94" s="180">
        <f t="shared" si="32"/>
        <v>1.3670647749517775E-2</v>
      </c>
      <c r="Y94" s="180">
        <f t="shared" si="33"/>
        <v>6.3048791894263769E-5</v>
      </c>
      <c r="Z94" s="181">
        <f t="shared" si="34"/>
        <v>1.0442485595127755</v>
      </c>
      <c r="AA94" s="181">
        <f t="shared" si="35"/>
        <v>2.7423207000418122E-3</v>
      </c>
      <c r="AB94" s="181">
        <f t="shared" si="36"/>
        <v>-4.521124001279278E-2</v>
      </c>
      <c r="AC94" s="181">
        <f t="shared" si="48"/>
        <v>1.3486281545064377E-2</v>
      </c>
      <c r="AD94" s="181">
        <f t="shared" si="49"/>
        <v>6.1359671678163318E-5</v>
      </c>
      <c r="AE94" s="267"/>
      <c r="AF94" s="182">
        <f t="shared" si="37"/>
        <v>1.3330287796846961E-2</v>
      </c>
      <c r="AG94" s="182">
        <f t="shared" si="38"/>
        <v>5.4497468132021784E-3</v>
      </c>
      <c r="AH94" s="149">
        <f t="shared" si="39"/>
        <v>-5.244230870000739</v>
      </c>
      <c r="AI94" s="149">
        <f t="shared" si="40"/>
        <v>5.2874527683401498</v>
      </c>
      <c r="AJ94" s="149">
        <f t="shared" si="41"/>
        <v>-4.5741322733015795E-2</v>
      </c>
      <c r="AK94" s="149">
        <f t="shared" si="42"/>
        <v>-1.1435330683253949E-2</v>
      </c>
      <c r="AL94" s="148">
        <f t="shared" si="50"/>
        <v>0.23181366926917546</v>
      </c>
    </row>
    <row r="95" spans="1:38" ht="21" customHeight="1" x14ac:dyDescent="0.3">
      <c r="A95" s="172"/>
      <c r="B95" s="159">
        <v>15</v>
      </c>
      <c r="C95" s="159">
        <v>120.11</v>
      </c>
      <c r="D95" s="159">
        <v>165.37</v>
      </c>
      <c r="E95" s="160">
        <v>1.1679999999999999E-2</v>
      </c>
      <c r="F95" s="160">
        <v>4.1959999999999998E-5</v>
      </c>
      <c r="G95" s="159">
        <v>0.3594</v>
      </c>
      <c r="H95" s="159">
        <v>0.88</v>
      </c>
      <c r="I95" s="159">
        <v>394</v>
      </c>
      <c r="J95" s="220">
        <v>2.0499999999999998</v>
      </c>
      <c r="K95" s="173"/>
      <c r="L95" s="174">
        <f t="shared" si="43"/>
        <v>1.1732670125391196</v>
      </c>
      <c r="M95" s="174">
        <f t="shared" si="44"/>
        <v>0.57232537197030231</v>
      </c>
      <c r="N95" s="174">
        <f t="shared" si="45"/>
        <v>0.25275796685315988</v>
      </c>
      <c r="O95" s="174">
        <f t="shared" si="26"/>
        <v>320.7498599366599</v>
      </c>
      <c r="P95" s="174">
        <f t="shared" si="27"/>
        <v>0.99133626170669809</v>
      </c>
      <c r="Q95" s="175">
        <f t="shared" si="28"/>
        <v>0.99133626170669809</v>
      </c>
      <c r="R95" s="176">
        <f t="shared" si="29"/>
        <v>1.7337229996529886</v>
      </c>
      <c r="S95" s="177">
        <f t="shared" si="30"/>
        <v>3.9220772110523283</v>
      </c>
      <c r="T95" s="177">
        <f t="shared" si="31"/>
        <v>6.8592219712710287</v>
      </c>
      <c r="U95" s="167"/>
      <c r="V95" s="178">
        <f t="shared" si="46"/>
        <v>1.1545152617428436E-2</v>
      </c>
      <c r="W95" s="179">
        <f t="shared" si="47"/>
        <v>4.0996723663779757E-5</v>
      </c>
      <c r="X95" s="180">
        <f t="shared" si="32"/>
        <v>1.171806190186302E-2</v>
      </c>
      <c r="Y95" s="180">
        <f t="shared" si="33"/>
        <v>6.2925363411815314E-5</v>
      </c>
      <c r="Z95" s="181">
        <f t="shared" si="34"/>
        <v>1.0440785571980074</v>
      </c>
      <c r="AA95" s="181">
        <f t="shared" si="35"/>
        <v>8.6507576922353609E-4</v>
      </c>
      <c r="AB95" s="181">
        <f t="shared" si="36"/>
        <v>-4.5037231218252316E-2</v>
      </c>
      <c r="AC95" s="181">
        <f t="shared" si="48"/>
        <v>1.1582339332595285E-2</v>
      </c>
      <c r="AD95" s="181">
        <f t="shared" si="49"/>
        <v>6.1476159062766504E-5</v>
      </c>
      <c r="AE95" s="267"/>
      <c r="AF95" s="182">
        <f t="shared" si="37"/>
        <v>3.090683381443915E-3</v>
      </c>
      <c r="AG95" s="182">
        <f t="shared" si="38"/>
        <v>5.3773367027502598E-3</v>
      </c>
      <c r="AH95" s="149">
        <f t="shared" si="39"/>
        <v>-5.191238424972175</v>
      </c>
      <c r="AI95" s="149">
        <f t="shared" si="40"/>
        <v>5.2011524384656402</v>
      </c>
      <c r="AJ95" s="149">
        <f t="shared" si="41"/>
        <v>-1.0498152652557022E-2</v>
      </c>
      <c r="AK95" s="149">
        <f t="shared" si="42"/>
        <v>-2.6245381631392556E-3</v>
      </c>
      <c r="AL95" s="148">
        <f t="shared" si="50"/>
        <v>0.24205327368457852</v>
      </c>
    </row>
    <row r="96" spans="1:38" ht="21" customHeight="1" x14ac:dyDescent="0.3">
      <c r="A96" s="172"/>
      <c r="B96" s="159">
        <v>16</v>
      </c>
      <c r="C96" s="159">
        <v>120.29</v>
      </c>
      <c r="D96" s="159">
        <v>349.13</v>
      </c>
      <c r="E96" s="160">
        <v>1.444E-2</v>
      </c>
      <c r="F96" s="160">
        <v>6.003E-5</v>
      </c>
      <c r="G96" s="159">
        <v>0.4158</v>
      </c>
      <c r="H96" s="159">
        <v>0.67</v>
      </c>
      <c r="I96" s="159">
        <v>234</v>
      </c>
      <c r="J96" s="220">
        <v>1.18</v>
      </c>
      <c r="K96" s="173"/>
      <c r="L96" s="174">
        <f t="shared" si="43"/>
        <v>0.71762363956891639</v>
      </c>
      <c r="M96" s="174">
        <f t="shared" si="44"/>
        <v>0.60815562675331902</v>
      </c>
      <c r="N96" s="174">
        <f t="shared" si="45"/>
        <v>0.14957070167323097</v>
      </c>
      <c r="O96" s="174">
        <f t="shared" si="26"/>
        <v>189.8052204233301</v>
      </c>
      <c r="P96" s="174">
        <f t="shared" si="27"/>
        <v>3.4665911899105559</v>
      </c>
      <c r="Q96" s="175">
        <f t="shared" si="28"/>
        <v>3.4665911899105559</v>
      </c>
      <c r="R96" s="176">
        <f t="shared" si="29"/>
        <v>1.2113137117240218</v>
      </c>
      <c r="S96" s="177">
        <f t="shared" si="30"/>
        <v>23.176940076700731</v>
      </c>
      <c r="T96" s="177">
        <f t="shared" si="31"/>
        <v>8.0986028558614009</v>
      </c>
      <c r="U96" s="167"/>
      <c r="V96" s="178">
        <f t="shared" si="46"/>
        <v>1.4234454477347107E-2</v>
      </c>
      <c r="W96" s="179">
        <f t="shared" si="47"/>
        <v>5.8333174655696588E-5</v>
      </c>
      <c r="X96" s="180">
        <f t="shared" si="32"/>
        <v>1.4600064978311886E-2</v>
      </c>
      <c r="Y96" s="180">
        <f t="shared" si="33"/>
        <v>7.8699085246817946E-5</v>
      </c>
      <c r="Z96" s="181">
        <f t="shared" si="34"/>
        <v>1.0443294842889503</v>
      </c>
      <c r="AA96" s="181">
        <f t="shared" si="35"/>
        <v>3.6384144184339771E-3</v>
      </c>
      <c r="AB96" s="181">
        <f t="shared" si="36"/>
        <v>-4.5294184841575762E-2</v>
      </c>
      <c r="AC96" s="181">
        <f t="shared" si="48"/>
        <v>1.4389970474350382E-2</v>
      </c>
      <c r="AD96" s="181">
        <f t="shared" si="49"/>
        <v>7.6450426538673578E-5</v>
      </c>
      <c r="AE96" s="267"/>
      <c r="AF96" s="182">
        <f t="shared" si="37"/>
        <v>1.8263940170764957E-2</v>
      </c>
      <c r="AG96" s="182">
        <f t="shared" si="38"/>
        <v>5.498188091483642E-3</v>
      </c>
      <c r="AH96" s="149">
        <f t="shared" si="39"/>
        <v>-5.2697637218188822</v>
      </c>
      <c r="AI96" s="149">
        <f t="shared" si="40"/>
        <v>5.3292875380580842</v>
      </c>
      <c r="AJ96" s="149">
        <f t="shared" si="41"/>
        <v>-6.2975700931475129E-2</v>
      </c>
      <c r="AK96" s="149">
        <f t="shared" si="42"/>
        <v>-1.5743925232868782E-2</v>
      </c>
      <c r="AL96" s="148">
        <f t="shared" si="50"/>
        <v>0.22688001689525747</v>
      </c>
    </row>
    <row r="97" spans="1:38" ht="21" customHeight="1" x14ac:dyDescent="0.3">
      <c r="A97" s="172"/>
      <c r="B97" s="159">
        <v>17</v>
      </c>
      <c r="C97" s="159">
        <v>120.71</v>
      </c>
      <c r="D97" s="159">
        <v>466.73</v>
      </c>
      <c r="E97" s="160">
        <v>1.1509999999999999E-2</v>
      </c>
      <c r="F97" s="160">
        <v>4.613E-5</v>
      </c>
      <c r="G97" s="159">
        <v>0.40079999999999999</v>
      </c>
      <c r="H97" s="159">
        <v>0.8</v>
      </c>
      <c r="I97" s="159">
        <v>326</v>
      </c>
      <c r="J97" s="220">
        <v>1.6</v>
      </c>
      <c r="K97" s="173"/>
      <c r="L97" s="174">
        <f t="shared" si="43"/>
        <v>0.9587414712697182</v>
      </c>
      <c r="M97" s="174">
        <f t="shared" si="44"/>
        <v>0.59921341954357377</v>
      </c>
      <c r="N97" s="174">
        <f t="shared" si="45"/>
        <v>0.2140409234869865</v>
      </c>
      <c r="O97" s="174">
        <f t="shared" si="26"/>
        <v>271.61793190498588</v>
      </c>
      <c r="P97" s="174">
        <f t="shared" si="27"/>
        <v>0.58892399759064884</v>
      </c>
      <c r="Q97" s="175">
        <f t="shared" si="28"/>
        <v>0.58892399759064884</v>
      </c>
      <c r="R97" s="176">
        <f t="shared" si="29"/>
        <v>1.4631042714113138</v>
      </c>
      <c r="S97" s="177">
        <f t="shared" si="30"/>
        <v>2.751455132954773</v>
      </c>
      <c r="T97" s="177">
        <f t="shared" si="31"/>
        <v>6.8356286619192677</v>
      </c>
      <c r="U97" s="167"/>
      <c r="V97" s="178">
        <f t="shared" si="46"/>
        <v>1.1379027394687151E-2</v>
      </c>
      <c r="W97" s="179">
        <f t="shared" si="47"/>
        <v>4.5086143949425203E-5</v>
      </c>
      <c r="X97" s="180">
        <f t="shared" si="32"/>
        <v>1.154056986062349E-2</v>
      </c>
      <c r="Y97" s="180">
        <f t="shared" si="33"/>
        <v>6.5987058979220139E-5</v>
      </c>
      <c r="Z97" s="181">
        <f t="shared" si="34"/>
        <v>1.044063104500712</v>
      </c>
      <c r="AA97" s="181">
        <f t="shared" si="35"/>
        <v>6.9479055695412207E-4</v>
      </c>
      <c r="AB97" s="181">
        <f t="shared" si="36"/>
        <v>-4.5021430276854006E-2</v>
      </c>
      <c r="AC97" s="181">
        <f t="shared" si="48"/>
        <v>1.1408904600053385E-2</v>
      </c>
      <c r="AD97" s="181">
        <f t="shared" si="49"/>
        <v>6.4489967938188096E-5</v>
      </c>
      <c r="AE97" s="267"/>
      <c r="AF97" s="182">
        <f t="shared" si="37"/>
        <v>2.1682073545742893E-3</v>
      </c>
      <c r="AG97" s="182">
        <f t="shared" si="38"/>
        <v>5.3728750569848388E-3</v>
      </c>
      <c r="AH97" s="149">
        <f t="shared" si="39"/>
        <v>-5.1864643870151497</v>
      </c>
      <c r="AI97" s="149">
        <f t="shared" si="40"/>
        <v>5.1934125927866832</v>
      </c>
      <c r="AJ97" s="149">
        <f t="shared" si="41"/>
        <v>-7.3579969615465753E-3</v>
      </c>
      <c r="AK97" s="149">
        <f t="shared" si="42"/>
        <v>-1.8394992403866438E-3</v>
      </c>
      <c r="AL97" s="148">
        <f t="shared" si="50"/>
        <v>0.24297574971144814</v>
      </c>
    </row>
    <row r="98" spans="1:38" ht="21" customHeight="1" x14ac:dyDescent="0.3">
      <c r="A98" s="172"/>
      <c r="B98" s="159">
        <v>27</v>
      </c>
      <c r="C98" s="159">
        <v>157.97</v>
      </c>
      <c r="D98" s="159">
        <v>135.94</v>
      </c>
      <c r="E98" s="160">
        <v>4.9930000000000002E-2</v>
      </c>
      <c r="F98" s="160">
        <v>7.2299999999999996E-5</v>
      </c>
      <c r="G98" s="159">
        <v>0.14480000000000001</v>
      </c>
      <c r="H98" s="159">
        <v>1.1299999999999999</v>
      </c>
      <c r="I98" s="159">
        <v>653</v>
      </c>
      <c r="J98" s="220">
        <v>2.14</v>
      </c>
      <c r="K98" s="173"/>
      <c r="L98" s="174">
        <f t="shared" si="43"/>
        <v>1.5394660722015188</v>
      </c>
      <c r="M98" s="174">
        <f t="shared" si="44"/>
        <v>0.71937666925304611</v>
      </c>
      <c r="N98" s="174">
        <f t="shared" si="45"/>
        <v>0.52824690274022512</v>
      </c>
      <c r="O98" s="174">
        <f t="shared" si="26"/>
        <v>670.34531957734566</v>
      </c>
      <c r="P98" s="174">
        <f t="shared" si="27"/>
        <v>169.68192887415123</v>
      </c>
      <c r="Q98" s="175">
        <f t="shared" si="28"/>
        <v>169.68192887415123</v>
      </c>
      <c r="R98" s="176">
        <f t="shared" si="29"/>
        <v>31.25171924079196</v>
      </c>
      <c r="S98" s="177">
        <f t="shared" si="30"/>
        <v>321.21708237936485</v>
      </c>
      <c r="T98" s="177">
        <f t="shared" si="31"/>
        <v>59.161197308828427</v>
      </c>
      <c r="U98" s="167"/>
      <c r="V98" s="178">
        <f t="shared" si="46"/>
        <v>4.7555551322469115E-2</v>
      </c>
      <c r="W98" s="179">
        <f t="shared" si="47"/>
        <v>6.5586975931143481E-5</v>
      </c>
      <c r="X98" s="180">
        <f t="shared" si="32"/>
        <v>5.1720673244358896E-2</v>
      </c>
      <c r="Y98" s="180">
        <f t="shared" si="33"/>
        <v>1.86267604413663E-4</v>
      </c>
      <c r="Z98" s="181">
        <f t="shared" si="34"/>
        <v>1.0475641558337523</v>
      </c>
      <c r="AA98" s="181">
        <f t="shared" si="35"/>
        <v>4.0766528810097957E-2</v>
      </c>
      <c r="AB98" s="181">
        <f t="shared" si="36"/>
        <v>-4.8669120479300977E-2</v>
      </c>
      <c r="AC98" s="181">
        <f t="shared" si="48"/>
        <v>4.9177195580657765E-2</v>
      </c>
      <c r="AD98" s="181">
        <f t="shared" si="49"/>
        <v>1.6839783652319837E-4</v>
      </c>
      <c r="AE98" s="267"/>
      <c r="AF98" s="182">
        <f t="shared" si="37"/>
        <v>0.25312614844709602</v>
      </c>
      <c r="AG98" s="182">
        <f t="shared" si="38"/>
        <v>1.2527158804948819E-2</v>
      </c>
      <c r="AH98" s="149">
        <f t="shared" si="39"/>
        <v>-6.48523281187948</v>
      </c>
      <c r="AI98" s="149">
        <f t="shared" si="40"/>
        <v>7.511504970372421</v>
      </c>
      <c r="AJ98" s="149">
        <f t="shared" si="41"/>
        <v>-1.0741130005494428</v>
      </c>
      <c r="AK98" s="149">
        <f t="shared" si="42"/>
        <v>-0.2685282501373607</v>
      </c>
      <c r="AL98" s="148">
        <f t="shared" si="50"/>
        <v>7.9821913810735889E-3</v>
      </c>
    </row>
    <row r="99" spans="1:38" ht="21" customHeight="1" x14ac:dyDescent="0.3">
      <c r="A99" s="172"/>
      <c r="B99" s="159">
        <v>19</v>
      </c>
      <c r="C99" s="159">
        <v>123.46</v>
      </c>
      <c r="D99" s="159">
        <v>208.83</v>
      </c>
      <c r="E99" s="160">
        <v>1.1350000000000001E-2</v>
      </c>
      <c r="F99" s="160">
        <v>5.185E-5</v>
      </c>
      <c r="G99" s="159">
        <v>0.45660000000000001</v>
      </c>
      <c r="H99" s="159">
        <v>0.75</v>
      </c>
      <c r="I99" s="159">
        <v>287</v>
      </c>
      <c r="J99" s="220">
        <v>1.28</v>
      </c>
      <c r="K99" s="173"/>
      <c r="L99" s="174">
        <f t="shared" si="43"/>
        <v>0.82064434435520872</v>
      </c>
      <c r="M99" s="174">
        <f t="shared" si="44"/>
        <v>0.64112839402750688</v>
      </c>
      <c r="N99" s="174">
        <f t="shared" si="45"/>
        <v>0.19593950212240063</v>
      </c>
      <c r="O99" s="174">
        <f t="shared" si="26"/>
        <v>248.64722819332641</v>
      </c>
      <c r="P99" s="174">
        <f t="shared" si="27"/>
        <v>0.32355485295401565</v>
      </c>
      <c r="Q99" s="175">
        <f t="shared" si="28"/>
        <v>0.32355485295401565</v>
      </c>
      <c r="R99" s="176">
        <f t="shared" si="29"/>
        <v>1.3363265189874047</v>
      </c>
      <c r="S99" s="177">
        <f t="shared" si="30"/>
        <v>1.6512997606368087</v>
      </c>
      <c r="T99" s="177">
        <f t="shared" si="31"/>
        <v>6.8200975531346426</v>
      </c>
      <c r="U99" s="167"/>
      <c r="V99" s="178">
        <f t="shared" si="46"/>
        <v>1.1222623226380582E-2</v>
      </c>
      <c r="W99" s="179">
        <f t="shared" si="47"/>
        <v>5.0692744337481749E-5</v>
      </c>
      <c r="X99" s="180">
        <f t="shared" si="32"/>
        <v>1.1373520927379565E-2</v>
      </c>
      <c r="Y99" s="180">
        <f t="shared" si="33"/>
        <v>7.0431839700327639E-5</v>
      </c>
      <c r="Z99" s="181">
        <f t="shared" si="34"/>
        <v>1.0440485610989896</v>
      </c>
      <c r="AA99" s="181">
        <f t="shared" si="35"/>
        <v>5.3457896374667683E-4</v>
      </c>
      <c r="AB99" s="181">
        <f t="shared" si="36"/>
        <v>-4.5006561548653963E-2</v>
      </c>
      <c r="AC99" s="181">
        <f t="shared" si="48"/>
        <v>1.1245618648341326E-2</v>
      </c>
      <c r="AD99" s="181">
        <f t="shared" si="49"/>
        <v>6.8856647568249951E-5</v>
      </c>
      <c r="AE99" s="267"/>
      <c r="AF99" s="182">
        <f t="shared" si="37"/>
        <v>1.3012606466799124E-3</v>
      </c>
      <c r="AG99" s="182">
        <f t="shared" si="38"/>
        <v>5.3694271482382702E-3</v>
      </c>
      <c r="AH99" s="149">
        <f t="shared" si="39"/>
        <v>-5.1819777267988938</v>
      </c>
      <c r="AI99" s="149">
        <f t="shared" si="40"/>
        <v>5.1861439076510019</v>
      </c>
      <c r="AJ99" s="149">
        <f t="shared" si="41"/>
        <v>-4.4121191143297782E-3</v>
      </c>
      <c r="AK99" s="149">
        <f t="shared" si="42"/>
        <v>-1.1030297785824446E-3</v>
      </c>
      <c r="AL99" s="148">
        <f t="shared" si="50"/>
        <v>0.24384269641934253</v>
      </c>
    </row>
    <row r="100" spans="1:38" ht="21" customHeight="1" x14ac:dyDescent="0.3">
      <c r="A100" s="172"/>
      <c r="B100" s="159">
        <v>24</v>
      </c>
      <c r="C100" s="159">
        <v>145.94</v>
      </c>
      <c r="D100" s="159">
        <v>187.81</v>
      </c>
      <c r="E100" s="160">
        <v>1.1339999999999999E-2</v>
      </c>
      <c r="F100" s="160">
        <v>5.363E-5</v>
      </c>
      <c r="G100" s="159">
        <v>0.4728</v>
      </c>
      <c r="H100" s="159">
        <v>0.74</v>
      </c>
      <c r="I100" s="159">
        <v>280</v>
      </c>
      <c r="J100" s="220">
        <v>1.55</v>
      </c>
      <c r="K100" s="173"/>
      <c r="L100" s="174">
        <f t="shared" si="43"/>
        <v>0.87672897791915794</v>
      </c>
      <c r="M100" s="174">
        <f t="shared" si="44"/>
        <v>0.56563159865752122</v>
      </c>
      <c r="N100" s="174">
        <f t="shared" si="45"/>
        <v>0.17292686980798677</v>
      </c>
      <c r="O100" s="174">
        <f t="shared" si="26"/>
        <v>219.44419778633522</v>
      </c>
      <c r="P100" s="174">
        <f t="shared" si="27"/>
        <v>0.27367262874024023</v>
      </c>
      <c r="Q100" s="175">
        <f t="shared" si="28"/>
        <v>0.27367262874024023</v>
      </c>
      <c r="R100" s="176">
        <f t="shared" si="29"/>
        <v>1.1793347595121546</v>
      </c>
      <c r="S100" s="177">
        <f t="shared" si="30"/>
        <v>1.5825916992779594</v>
      </c>
      <c r="T100" s="177">
        <f t="shared" si="31"/>
        <v>6.8198467989483378</v>
      </c>
      <c r="U100" s="167"/>
      <c r="V100" s="178">
        <f t="shared" si="46"/>
        <v>1.1212846322700577E-2</v>
      </c>
      <c r="W100" s="179">
        <f t="shared" si="47"/>
        <v>5.2434052891919217E-5</v>
      </c>
      <c r="X100" s="180">
        <f t="shared" si="32"/>
        <v>1.136308044631334E-2</v>
      </c>
      <c r="Y100" s="180">
        <f t="shared" si="33"/>
        <v>7.1868244766113584E-5</v>
      </c>
      <c r="Z100" s="181">
        <f t="shared" si="34"/>
        <v>1.0440476521464714</v>
      </c>
      <c r="AA100" s="181">
        <f t="shared" si="35"/>
        <v>5.2456756925408786E-4</v>
      </c>
      <c r="AB100" s="181">
        <f t="shared" si="36"/>
        <v>-4.500563234155365E-2</v>
      </c>
      <c r="AC100" s="181">
        <f t="shared" si="48"/>
        <v>1.1235411560899401E-2</v>
      </c>
      <c r="AD100" s="181">
        <f t="shared" si="49"/>
        <v>7.0262378399899467E-5</v>
      </c>
      <c r="AE100" s="267"/>
      <c r="AF100" s="182">
        <f t="shared" si="37"/>
        <v>1.2471171783120247E-3</v>
      </c>
      <c r="AG100" s="182">
        <f t="shared" si="38"/>
        <v>5.3696337380207126E-3</v>
      </c>
      <c r="AH100" s="149">
        <f t="shared" si="39"/>
        <v>-5.1816975211723149</v>
      </c>
      <c r="AI100" s="149">
        <f t="shared" si="40"/>
        <v>5.1856901249511367</v>
      </c>
      <c r="AJ100" s="149">
        <f t="shared" si="41"/>
        <v>-4.2283089255228399E-3</v>
      </c>
      <c r="AK100" s="149">
        <f t="shared" si="42"/>
        <v>-1.05707723138071E-3</v>
      </c>
      <c r="AL100" s="148">
        <f t="shared" si="50"/>
        <v>0.24389683988771041</v>
      </c>
    </row>
    <row r="101" spans="1:38" ht="21" customHeight="1" x14ac:dyDescent="0.3">
      <c r="A101" s="172"/>
      <c r="B101" s="159">
        <v>23</v>
      </c>
      <c r="C101" s="159">
        <v>145.22999999999999</v>
      </c>
      <c r="D101" s="159">
        <v>154.36000000000001</v>
      </c>
      <c r="E101" s="160">
        <v>1.274E-2</v>
      </c>
      <c r="F101" s="160">
        <v>5.6110000000000003E-5</v>
      </c>
      <c r="G101" s="159">
        <v>0.44030000000000002</v>
      </c>
      <c r="H101" s="159">
        <v>0.73</v>
      </c>
      <c r="I101" s="159">
        <v>274</v>
      </c>
      <c r="J101" s="220">
        <v>1.55</v>
      </c>
      <c r="K101" s="173"/>
      <c r="L101" s="174">
        <f t="shared" si="43"/>
        <v>0.86728458420139654</v>
      </c>
      <c r="M101" s="174">
        <f t="shared" si="44"/>
        <v>0.55953844142025577</v>
      </c>
      <c r="N101" s="174">
        <f t="shared" si="45"/>
        <v>0.16739839029391612</v>
      </c>
      <c r="O101" s="174">
        <f t="shared" si="26"/>
        <v>212.42855728297957</v>
      </c>
      <c r="P101" s="174">
        <f t="shared" si="27"/>
        <v>1.8851012287865594</v>
      </c>
      <c r="Q101" s="175">
        <f t="shared" si="28"/>
        <v>1.8851012287865594</v>
      </c>
      <c r="R101" s="176">
        <f t="shared" si="29"/>
        <v>1.1988502820524141</v>
      </c>
      <c r="S101" s="177">
        <f t="shared" si="30"/>
        <v>11.261167000929463</v>
      </c>
      <c r="T101" s="177">
        <f t="shared" si="31"/>
        <v>7.1616595592555399</v>
      </c>
      <c r="U101" s="167"/>
      <c r="V101" s="178">
        <f t="shared" si="46"/>
        <v>1.2579734186464443E-2</v>
      </c>
      <c r="W101" s="179">
        <f t="shared" si="47"/>
        <v>5.4707181620946631E-5</v>
      </c>
      <c r="X101" s="180">
        <f t="shared" si="32"/>
        <v>1.2824836242035903E-2</v>
      </c>
      <c r="Y101" s="180">
        <f t="shared" si="33"/>
        <v>7.4359691922146841E-5</v>
      </c>
      <c r="Z101" s="181">
        <f t="shared" si="34"/>
        <v>1.0441749170495023</v>
      </c>
      <c r="AA101" s="181">
        <f t="shared" si="35"/>
        <v>1.9282579246626232E-3</v>
      </c>
      <c r="AB101" s="181">
        <f t="shared" si="36"/>
        <v>-4.5135822551983097E-2</v>
      </c>
      <c r="AC101" s="181">
        <f t="shared" si="48"/>
        <v>1.2662442490668877E-2</v>
      </c>
      <c r="AD101" s="181">
        <f t="shared" si="49"/>
        <v>7.2488463920343643E-5</v>
      </c>
      <c r="AE101" s="267"/>
      <c r="AF101" s="182">
        <f t="shared" si="37"/>
        <v>8.8740480700783796E-3</v>
      </c>
      <c r="AG101" s="182">
        <f t="shared" si="38"/>
        <v>5.4195201150872927E-3</v>
      </c>
      <c r="AH101" s="149">
        <f t="shared" si="39"/>
        <v>-5.2211687448272635</v>
      </c>
      <c r="AI101" s="149">
        <f t="shared" si="40"/>
        <v>5.2498078986917855</v>
      </c>
      <c r="AJ101" s="149">
        <f t="shared" si="41"/>
        <v>-3.031634894976825E-2</v>
      </c>
      <c r="AK101" s="149">
        <f t="shared" si="42"/>
        <v>-7.5790872374420625E-3</v>
      </c>
      <c r="AL101" s="148">
        <f t="shared" si="50"/>
        <v>0.23626990899594405</v>
      </c>
    </row>
    <row r="102" spans="1:38" ht="21" customHeight="1" x14ac:dyDescent="0.3">
      <c r="A102" s="172"/>
      <c r="B102" s="159">
        <v>37</v>
      </c>
      <c r="C102" s="159">
        <v>279.14999999999998</v>
      </c>
      <c r="D102" s="159">
        <v>67.709999999999994</v>
      </c>
      <c r="E102" s="160">
        <v>1.1339999999999999E-2</v>
      </c>
      <c r="F102" s="160">
        <v>3.5450000000000001E-5</v>
      </c>
      <c r="G102" s="159">
        <v>0.31259999999999999</v>
      </c>
      <c r="H102" s="159">
        <v>1.07</v>
      </c>
      <c r="I102" s="159">
        <v>591</v>
      </c>
      <c r="J102" s="220">
        <v>1.94</v>
      </c>
      <c r="K102" s="173"/>
      <c r="L102" s="174">
        <f t="shared" si="43"/>
        <v>1.4025257364944643</v>
      </c>
      <c r="M102" s="174">
        <f t="shared" si="44"/>
        <v>0.72295141056415679</v>
      </c>
      <c r="N102" s="174">
        <f t="shared" si="45"/>
        <v>0.47680740676089134</v>
      </c>
      <c r="O102" s="174">
        <f t="shared" si="26"/>
        <v>605.06859917957115</v>
      </c>
      <c r="P102" s="174">
        <f t="shared" si="27"/>
        <v>0.75459144409403622</v>
      </c>
      <c r="Q102" s="175">
        <f t="shared" si="28"/>
        <v>0.75459144409403622</v>
      </c>
      <c r="R102" s="176">
        <f t="shared" si="29"/>
        <v>3.2490800415002759</v>
      </c>
      <c r="S102" s="177">
        <f t="shared" si="30"/>
        <v>1.5825916992779594</v>
      </c>
      <c r="T102" s="177">
        <f t="shared" si="31"/>
        <v>6.8142398700815896</v>
      </c>
      <c r="U102" s="167"/>
      <c r="V102" s="178">
        <f t="shared" si="46"/>
        <v>1.1212846322700577E-2</v>
      </c>
      <c r="W102" s="179">
        <f t="shared" si="47"/>
        <v>3.4659466250578715E-5</v>
      </c>
      <c r="X102" s="180">
        <f t="shared" si="32"/>
        <v>1.136308044631334E-2</v>
      </c>
      <c r="Y102" s="180">
        <f t="shared" si="33"/>
        <v>5.8307461087734233E-5</v>
      </c>
      <c r="Z102" s="181">
        <f t="shared" si="34"/>
        <v>1.0440476521464714</v>
      </c>
      <c r="AA102" s="181">
        <f t="shared" si="35"/>
        <v>5.2456756925408786E-4</v>
      </c>
      <c r="AB102" s="181">
        <f t="shared" si="36"/>
        <v>-4.500563234155365E-2</v>
      </c>
      <c r="AC102" s="181">
        <f t="shared" si="48"/>
        <v>1.1235411560899401E-2</v>
      </c>
      <c r="AD102" s="181">
        <f t="shared" si="49"/>
        <v>5.700460485456962E-5</v>
      </c>
      <c r="AE102" s="267"/>
      <c r="AF102" s="182">
        <f t="shared" si="37"/>
        <v>1.2471171783120247E-3</v>
      </c>
      <c r="AG102" s="182">
        <f t="shared" si="38"/>
        <v>5.3652116023683843E-3</v>
      </c>
      <c r="AH102" s="149">
        <f t="shared" si="39"/>
        <v>-5.1816975211723149</v>
      </c>
      <c r="AI102" s="149">
        <f t="shared" si="40"/>
        <v>5.1856901249511367</v>
      </c>
      <c r="AJ102" s="149">
        <f t="shared" si="41"/>
        <v>-4.2283089255228399E-3</v>
      </c>
      <c r="AK102" s="149">
        <f t="shared" si="42"/>
        <v>-1.05707723138071E-3</v>
      </c>
      <c r="AL102" s="148">
        <f t="shared" si="50"/>
        <v>0.24389683988771041</v>
      </c>
    </row>
    <row r="103" spans="1:38" ht="21" customHeight="1" x14ac:dyDescent="0.3">
      <c r="A103" s="172"/>
      <c r="B103" s="159">
        <v>45</v>
      </c>
      <c r="C103" s="159">
        <v>393.88</v>
      </c>
      <c r="D103" s="159">
        <v>35.39</v>
      </c>
      <c r="E103" s="160">
        <v>1.227E-2</v>
      </c>
      <c r="F103" s="160">
        <v>5.1350000000000001E-5</v>
      </c>
      <c r="G103" s="159">
        <v>0.41830000000000001</v>
      </c>
      <c r="H103" s="159">
        <v>0.76</v>
      </c>
      <c r="I103" s="159">
        <v>298</v>
      </c>
      <c r="J103" s="220">
        <v>1.0900000000000001</v>
      </c>
      <c r="K103" s="173"/>
      <c r="L103" s="174">
        <f t="shared" si="43"/>
        <v>0.78558258821074056</v>
      </c>
      <c r="M103" s="174">
        <f t="shared" si="44"/>
        <v>0.72071797083554179</v>
      </c>
      <c r="N103" s="174">
        <f t="shared" si="45"/>
        <v>0.22247977535691532</v>
      </c>
      <c r="O103" s="174">
        <f t="shared" si="26"/>
        <v>282.32683492792552</v>
      </c>
      <c r="P103" s="174">
        <f t="shared" si="27"/>
        <v>1.7795098014283393</v>
      </c>
      <c r="Q103" s="175">
        <f t="shared" si="28"/>
        <v>1.7795098014283393</v>
      </c>
      <c r="R103" s="176">
        <f t="shared" si="29"/>
        <v>1.5569570249054299</v>
      </c>
      <c r="S103" s="177">
        <f t="shared" si="30"/>
        <v>7.9985239043573451</v>
      </c>
      <c r="T103" s="177">
        <f t="shared" si="31"/>
        <v>6.9981957794036163</v>
      </c>
      <c r="U103" s="167"/>
      <c r="V103" s="178">
        <f t="shared" si="46"/>
        <v>1.2121271992650182E-2</v>
      </c>
      <c r="W103" s="179">
        <f t="shared" si="47"/>
        <v>5.0112689977157681E-5</v>
      </c>
      <c r="X103" s="180">
        <f t="shared" si="32"/>
        <v>1.233408407202689E-2</v>
      </c>
      <c r="Y103" s="180">
        <f t="shared" si="33"/>
        <v>7.0298911808824594E-5</v>
      </c>
      <c r="Z103" s="181">
        <f t="shared" si="34"/>
        <v>1.0441321898089331</v>
      </c>
      <c r="AA103" s="181">
        <f t="shared" si="35"/>
        <v>1.4565483867255348E-3</v>
      </c>
      <c r="AB103" s="181">
        <f t="shared" si="36"/>
        <v>-4.5092093102053775E-2</v>
      </c>
      <c r="AC103" s="181">
        <f t="shared" si="48"/>
        <v>1.2183807960326788E-2</v>
      </c>
      <c r="AD103" s="181">
        <f t="shared" si="49"/>
        <v>6.8596330460592422E-5</v>
      </c>
      <c r="AE103" s="267"/>
      <c r="AF103" s="182">
        <f t="shared" si="37"/>
        <v>6.303013321006576E-3</v>
      </c>
      <c r="AG103" s="182">
        <f t="shared" si="38"/>
        <v>5.4001798482032678E-3</v>
      </c>
      <c r="AH103" s="149">
        <f t="shared" si="39"/>
        <v>-5.2078630142463282</v>
      </c>
      <c r="AI103" s="149">
        <f t="shared" si="40"/>
        <v>5.2281498104994304</v>
      </c>
      <c r="AJ103" s="149">
        <f t="shared" si="41"/>
        <v>-2.1478065770772856E-2</v>
      </c>
      <c r="AK103" s="149">
        <f t="shared" si="42"/>
        <v>-5.3695164426932141E-3</v>
      </c>
      <c r="AL103" s="148">
        <f t="shared" si="50"/>
        <v>0.23884094374501585</v>
      </c>
    </row>
    <row r="104" spans="1:38" ht="21" customHeight="1" x14ac:dyDescent="0.3">
      <c r="A104" s="172"/>
      <c r="B104" s="159">
        <v>46</v>
      </c>
      <c r="C104" s="159">
        <v>394.45</v>
      </c>
      <c r="D104" s="159">
        <v>14.23</v>
      </c>
      <c r="E104" s="160">
        <v>1.2030000000000001E-2</v>
      </c>
      <c r="F104" s="160">
        <v>3.4190000000000003E-5</v>
      </c>
      <c r="G104" s="159">
        <v>0.28420000000000001</v>
      </c>
      <c r="H104" s="159">
        <v>1.04</v>
      </c>
      <c r="I104" s="159">
        <v>560</v>
      </c>
      <c r="J104" s="220">
        <v>1.73</v>
      </c>
      <c r="K104" s="173"/>
      <c r="L104" s="174">
        <f t="shared" si="43"/>
        <v>1.2990826215248297</v>
      </c>
      <c r="M104" s="174">
        <f t="shared" si="44"/>
        <v>0.75091481012995942</v>
      </c>
      <c r="N104" s="174">
        <f t="shared" si="45"/>
        <v>0.4644667820186954</v>
      </c>
      <c r="O104" s="174">
        <f t="shared" si="26"/>
        <v>589.40834638172441</v>
      </c>
      <c r="P104" s="174">
        <f t="shared" si="27"/>
        <v>2.943667856506154</v>
      </c>
      <c r="Q104" s="175">
        <f t="shared" si="28"/>
        <v>2.943667856506154</v>
      </c>
      <c r="R104" s="176">
        <f t="shared" si="29"/>
        <v>3.2181213775248967</v>
      </c>
      <c r="S104" s="177">
        <f t="shared" si="30"/>
        <v>6.3377360243335286</v>
      </c>
      <c r="T104" s="177">
        <f t="shared" si="31"/>
        <v>6.9286362386091218</v>
      </c>
      <c r="U104" s="167"/>
      <c r="V104" s="178">
        <f t="shared" si="46"/>
        <v>1.1886999397251071E-2</v>
      </c>
      <c r="W104" s="179">
        <f t="shared" si="47"/>
        <v>3.3381998054018152E-5</v>
      </c>
      <c r="X104" s="180">
        <f t="shared" si="32"/>
        <v>1.2083494964544892E-2</v>
      </c>
      <c r="Y104" s="180">
        <f t="shared" si="33"/>
        <v>5.770003555528063E-5</v>
      </c>
      <c r="Z104" s="181">
        <f t="shared" si="34"/>
        <v>1.0441103726550425</v>
      </c>
      <c r="AA104" s="181">
        <f t="shared" si="35"/>
        <v>1.2158589145218779E-3</v>
      </c>
      <c r="AB104" s="181">
        <f t="shared" si="36"/>
        <v>-4.5069772034304512E-2</v>
      </c>
      <c r="AC104" s="181">
        <f t="shared" si="48"/>
        <v>1.1939227370730117E-2</v>
      </c>
      <c r="AD104" s="181">
        <f t="shared" si="49"/>
        <v>5.6330472727928557E-5</v>
      </c>
      <c r="AE104" s="267"/>
      <c r="AF104" s="182">
        <f t="shared" si="37"/>
        <v>4.994275826897974E-3</v>
      </c>
      <c r="AG104" s="182">
        <f t="shared" si="38"/>
        <v>5.3875502762667617E-3</v>
      </c>
      <c r="AH104" s="149">
        <f t="shared" si="39"/>
        <v>-5.201089979185614</v>
      </c>
      <c r="AI104" s="149">
        <f t="shared" si="40"/>
        <v>5.2171423569034152</v>
      </c>
      <c r="AJ104" s="149">
        <f t="shared" si="41"/>
        <v>-1.6996295849085675E-2</v>
      </c>
      <c r="AK104" s="149">
        <f t="shared" si="42"/>
        <v>-4.2490739622714187E-3</v>
      </c>
      <c r="AL104" s="148">
        <f t="shared" si="50"/>
        <v>0.24014968123912445</v>
      </c>
    </row>
    <row r="105" spans="1:38" ht="21" customHeight="1" x14ac:dyDescent="0.3">
      <c r="A105" s="172"/>
      <c r="B105" s="159">
        <v>39</v>
      </c>
      <c r="C105" s="159">
        <v>319.3</v>
      </c>
      <c r="D105" s="159">
        <v>64.38</v>
      </c>
      <c r="E105" s="160">
        <v>1.133E-2</v>
      </c>
      <c r="F105" s="160">
        <v>4.918E-5</v>
      </c>
      <c r="G105" s="159">
        <v>0.43419999999999997</v>
      </c>
      <c r="H105" s="159">
        <v>0.79</v>
      </c>
      <c r="I105" s="159">
        <v>322</v>
      </c>
      <c r="J105" s="220">
        <v>1.51</v>
      </c>
      <c r="K105" s="173"/>
      <c r="L105" s="174">
        <f t="shared" si="43"/>
        <v>0.92995788121613154</v>
      </c>
      <c r="M105" s="174">
        <f t="shared" si="44"/>
        <v>0.61586614650074945</v>
      </c>
      <c r="N105" s="174">
        <f t="shared" si="45"/>
        <v>0.21587498886417958</v>
      </c>
      <c r="O105" s="174">
        <f t="shared" si="26"/>
        <v>273.94536086864389</v>
      </c>
      <c r="P105" s="174">
        <f t="shared" si="27"/>
        <v>0.32681092417727037</v>
      </c>
      <c r="Q105" s="175">
        <f t="shared" si="28"/>
        <v>0.32681092417727037</v>
      </c>
      <c r="R105" s="176">
        <f t="shared" si="29"/>
        <v>1.4717029812263138</v>
      </c>
      <c r="S105" s="177">
        <f t="shared" si="30"/>
        <v>1.513889709487779</v>
      </c>
      <c r="T105" s="177">
        <f t="shared" si="31"/>
        <v>6.8173853255054668</v>
      </c>
      <c r="U105" s="167"/>
      <c r="V105" s="178">
        <f t="shared" si="46"/>
        <v>1.1203069225673122E-2</v>
      </c>
      <c r="W105" s="179">
        <f t="shared" si="47"/>
        <v>4.8084238631783288E-5</v>
      </c>
      <c r="X105" s="180">
        <f t="shared" si="32"/>
        <v>1.1352639974336632E-2</v>
      </c>
      <c r="Y105" s="180">
        <f t="shared" si="33"/>
        <v>6.8308811919006498E-5</v>
      </c>
      <c r="Z105" s="181">
        <f t="shared" si="34"/>
        <v>1.0440467431951403</v>
      </c>
      <c r="AA105" s="181">
        <f t="shared" si="35"/>
        <v>5.1455639006206489E-4</v>
      </c>
      <c r="AB105" s="181">
        <f t="shared" si="36"/>
        <v>-4.5004703144854649E-2</v>
      </c>
      <c r="AC105" s="181">
        <f t="shared" si="48"/>
        <v>1.1225204271602739E-2</v>
      </c>
      <c r="AD105" s="181">
        <f t="shared" si="49"/>
        <v>6.6783858450578676E-5</v>
      </c>
      <c r="AE105" s="267"/>
      <c r="AF105" s="182">
        <f t="shared" si="37"/>
        <v>1.1929784944742152E-3</v>
      </c>
      <c r="AG105" s="182">
        <f t="shared" si="38"/>
        <v>5.3680796636443387E-3</v>
      </c>
      <c r="AH105" s="149">
        <f t="shared" si="39"/>
        <v>-5.1814173403068438</v>
      </c>
      <c r="AI105" s="149">
        <f t="shared" si="40"/>
        <v>5.1852364022019914</v>
      </c>
      <c r="AJ105" s="149">
        <f t="shared" si="41"/>
        <v>-4.0445348306031616E-3</v>
      </c>
      <c r="AK105" s="149">
        <f t="shared" si="42"/>
        <v>-1.0111337076507904E-3</v>
      </c>
      <c r="AL105" s="148">
        <f t="shared" si="50"/>
        <v>0.24395097857154821</v>
      </c>
    </row>
    <row r="106" spans="1:38" ht="21" customHeight="1" x14ac:dyDescent="0.3">
      <c r="A106" s="172"/>
      <c r="B106" s="159">
        <v>26</v>
      </c>
      <c r="C106" s="159">
        <v>156.46</v>
      </c>
      <c r="D106" s="159">
        <v>409.84</v>
      </c>
      <c r="E106" s="160">
        <v>1.2070000000000001E-2</v>
      </c>
      <c r="F106" s="160">
        <v>4.1359999999999997E-5</v>
      </c>
      <c r="G106" s="159">
        <v>0.3427</v>
      </c>
      <c r="H106" s="159">
        <v>0.94</v>
      </c>
      <c r="I106" s="159">
        <v>455</v>
      </c>
      <c r="J106" s="220">
        <v>1.75</v>
      </c>
      <c r="K106" s="173"/>
      <c r="L106" s="174">
        <f t="shared" si="43"/>
        <v>1.1767745660974387</v>
      </c>
      <c r="M106" s="174">
        <f t="shared" si="44"/>
        <v>0.67244260919853638</v>
      </c>
      <c r="N106" s="174">
        <f t="shared" si="45"/>
        <v>0.33831653999440542</v>
      </c>
      <c r="O106" s="174">
        <f t="shared" si="26"/>
        <v>429.32368925290046</v>
      </c>
      <c r="P106" s="174">
        <f t="shared" si="27"/>
        <v>2.2377232344036742</v>
      </c>
      <c r="Q106" s="175">
        <f t="shared" si="28"/>
        <v>2.2377232344036742</v>
      </c>
      <c r="R106" s="176">
        <f t="shared" si="29"/>
        <v>2.3480481568898544</v>
      </c>
      <c r="S106" s="177">
        <f t="shared" si="30"/>
        <v>6.6142886021495686</v>
      </c>
      <c r="T106" s="177">
        <f t="shared" si="31"/>
        <v>6.9403883030036981</v>
      </c>
      <c r="U106" s="167"/>
      <c r="V106" s="178">
        <f t="shared" si="46"/>
        <v>1.1926052545772526E-2</v>
      </c>
      <c r="W106" s="179">
        <f t="shared" si="47"/>
        <v>4.0379359596378547E-5</v>
      </c>
      <c r="X106" s="180">
        <f t="shared" si="32"/>
        <v>1.2125259452173926E-2</v>
      </c>
      <c r="Y106" s="180">
        <f t="shared" si="33"/>
        <v>6.2623994331136295E-5</v>
      </c>
      <c r="Z106" s="181">
        <f t="shared" si="34"/>
        <v>1.0441140087998706</v>
      </c>
      <c r="AA106" s="181">
        <f t="shared" si="35"/>
        <v>1.255965212806863E-3</v>
      </c>
      <c r="AB106" s="181">
        <f t="shared" si="36"/>
        <v>-4.5073491796129739E-2</v>
      </c>
      <c r="AC106" s="181">
        <f t="shared" si="48"/>
        <v>1.1979998857786518E-2</v>
      </c>
      <c r="AD106" s="181">
        <f t="shared" si="49"/>
        <v>6.1132511389024358E-5</v>
      </c>
      <c r="AE106" s="267"/>
      <c r="AF106" s="182">
        <f t="shared" si="37"/>
        <v>5.2122053602439468E-3</v>
      </c>
      <c r="AG106" s="182">
        <f t="shared" si="38"/>
        <v>5.3904459255085871E-3</v>
      </c>
      <c r="AH106" s="149">
        <f t="shared" si="39"/>
        <v>-5.2022178175617295</v>
      </c>
      <c r="AI106" s="149">
        <f t="shared" si="40"/>
        <v>5.2189745010384607</v>
      </c>
      <c r="AJ106" s="149">
        <f t="shared" si="41"/>
        <v>-1.7741790289816033E-2</v>
      </c>
      <c r="AK106" s="149">
        <f t="shared" si="42"/>
        <v>-4.4354475724540082E-3</v>
      </c>
      <c r="AL106" s="148">
        <f t="shared" si="50"/>
        <v>0.23993175170577849</v>
      </c>
    </row>
    <row r="107" spans="1:38" ht="21" customHeight="1" x14ac:dyDescent="0.3">
      <c r="A107" s="172"/>
      <c r="B107" s="159">
        <v>54</v>
      </c>
      <c r="C107" s="159">
        <v>454.46</v>
      </c>
      <c r="D107" s="159">
        <v>504.84</v>
      </c>
      <c r="E107" s="160">
        <v>1.1350000000000001E-2</v>
      </c>
      <c r="F107" s="160">
        <v>5.0689999999999997E-5</v>
      </c>
      <c r="G107" s="159">
        <v>0.44650000000000001</v>
      </c>
      <c r="H107" s="159">
        <v>0.75</v>
      </c>
      <c r="I107" s="159">
        <v>288</v>
      </c>
      <c r="J107" s="220">
        <v>1.1499999999999999</v>
      </c>
      <c r="K107" s="173"/>
      <c r="L107" s="174">
        <f t="shared" si="43"/>
        <v>0.78823526780912734</v>
      </c>
      <c r="M107" s="174">
        <f t="shared" si="44"/>
        <v>0.68542197200793686</v>
      </c>
      <c r="N107" s="174">
        <f t="shared" si="45"/>
        <v>0.20654218991473641</v>
      </c>
      <c r="O107" s="174">
        <f t="shared" si="26"/>
        <v>262.10203900180051</v>
      </c>
      <c r="P107" s="174">
        <f t="shared" si="27"/>
        <v>0.34106306876760656</v>
      </c>
      <c r="Q107" s="175">
        <f t="shared" si="28"/>
        <v>0.34106306876760656</v>
      </c>
      <c r="R107" s="176">
        <f t="shared" si="29"/>
        <v>1.4085528473609157</v>
      </c>
      <c r="S107" s="177">
        <f t="shared" si="30"/>
        <v>1.6512997606368087</v>
      </c>
      <c r="T107" s="177">
        <f t="shared" si="31"/>
        <v>6.8196858372731821</v>
      </c>
      <c r="U107" s="167"/>
      <c r="V107" s="178">
        <f t="shared" si="46"/>
        <v>1.1222623226380582E-2</v>
      </c>
      <c r="W107" s="179">
        <f t="shared" si="47"/>
        <v>4.9558634724531339E-5</v>
      </c>
      <c r="X107" s="180">
        <f t="shared" si="32"/>
        <v>1.1373520927379565E-2</v>
      </c>
      <c r="Y107" s="180">
        <f t="shared" si="33"/>
        <v>6.9505309288018895E-5</v>
      </c>
      <c r="Z107" s="181">
        <f t="shared" si="34"/>
        <v>1.0440485610989896</v>
      </c>
      <c r="AA107" s="181">
        <f t="shared" si="35"/>
        <v>5.3457896374667683E-4</v>
      </c>
      <c r="AB107" s="181">
        <f t="shared" si="36"/>
        <v>-4.5006561548653963E-2</v>
      </c>
      <c r="AC107" s="181">
        <f t="shared" si="48"/>
        <v>1.1245618648341326E-2</v>
      </c>
      <c r="AD107" s="181">
        <f t="shared" si="49"/>
        <v>6.7950838798621691E-5</v>
      </c>
      <c r="AE107" s="267"/>
      <c r="AF107" s="182">
        <f t="shared" si="37"/>
        <v>1.3012606466799124E-3</v>
      </c>
      <c r="AG107" s="182">
        <f t="shared" si="38"/>
        <v>5.3691024073224507E-3</v>
      </c>
      <c r="AH107" s="149">
        <f t="shared" si="39"/>
        <v>-5.1819777267988938</v>
      </c>
      <c r="AI107" s="149">
        <f t="shared" si="40"/>
        <v>5.1861439076510019</v>
      </c>
      <c r="AJ107" s="149">
        <f t="shared" si="41"/>
        <v>-4.4121191143297782E-3</v>
      </c>
      <c r="AK107" s="149">
        <f t="shared" si="42"/>
        <v>-1.1030297785824446E-3</v>
      </c>
      <c r="AL107" s="148">
        <f t="shared" si="50"/>
        <v>0.24384269641934253</v>
      </c>
    </row>
    <row r="108" spans="1:38" ht="21" customHeight="1" x14ac:dyDescent="0.3">
      <c r="A108" s="172"/>
      <c r="B108" s="159">
        <v>53</v>
      </c>
      <c r="C108" s="159">
        <v>450.9</v>
      </c>
      <c r="D108" s="159">
        <v>306.8</v>
      </c>
      <c r="E108" s="160">
        <v>1.261E-2</v>
      </c>
      <c r="F108" s="160">
        <v>3.6909999999999997E-5</v>
      </c>
      <c r="G108" s="159">
        <v>0.29270000000000002</v>
      </c>
      <c r="H108" s="159">
        <v>1.08</v>
      </c>
      <c r="I108" s="159">
        <v>598</v>
      </c>
      <c r="J108" s="220">
        <v>2.44</v>
      </c>
      <c r="K108" s="173"/>
      <c r="L108" s="174">
        <f t="shared" si="43"/>
        <v>1.5624156857771445</v>
      </c>
      <c r="M108" s="174">
        <f t="shared" si="44"/>
        <v>0.64033429744964943</v>
      </c>
      <c r="N108" s="174">
        <f t="shared" si="45"/>
        <v>0.43441618468875981</v>
      </c>
      <c r="O108" s="174">
        <f t="shared" si="26"/>
        <v>551.27413837003621</v>
      </c>
      <c r="P108" s="174">
        <f t="shared" si="27"/>
        <v>4.499409338341497</v>
      </c>
      <c r="Q108" s="175">
        <f t="shared" si="28"/>
        <v>4.499409338341497</v>
      </c>
      <c r="R108" s="176">
        <f t="shared" si="29"/>
        <v>3.0870803553606896</v>
      </c>
      <c r="S108" s="177">
        <f t="shared" si="30"/>
        <v>10.357370413271152</v>
      </c>
      <c r="T108" s="177">
        <f t="shared" si="31"/>
        <v>7.1062738087726816</v>
      </c>
      <c r="U108" s="167"/>
      <c r="V108" s="178">
        <f t="shared" si="46"/>
        <v>1.2452968072604457E-2</v>
      </c>
      <c r="W108" s="179">
        <f t="shared" si="47"/>
        <v>3.5996445767314336E-5</v>
      </c>
      <c r="X108" s="180">
        <f t="shared" si="32"/>
        <v>1.2689094271019937E-2</v>
      </c>
      <c r="Y108" s="180">
        <f t="shared" si="33"/>
        <v>5.9776220435047601E-5</v>
      </c>
      <c r="Z108" s="181">
        <f t="shared" si="34"/>
        <v>1.0441630986141957</v>
      </c>
      <c r="AA108" s="181">
        <f t="shared" si="35"/>
        <v>1.7977374777062838E-3</v>
      </c>
      <c r="AB108" s="181">
        <f t="shared" si="36"/>
        <v>-4.5123724872840179E-2</v>
      </c>
      <c r="AC108" s="181">
        <f t="shared" si="48"/>
        <v>1.2530098667799056E-2</v>
      </c>
      <c r="AD108" s="181">
        <f t="shared" si="49"/>
        <v>5.8287601623180168E-5</v>
      </c>
      <c r="AE108" s="267"/>
      <c r="AF108" s="182">
        <f t="shared" si="37"/>
        <v>8.1618364170773453E-3</v>
      </c>
      <c r="AG108" s="182">
        <f t="shared" si="38"/>
        <v>5.4094671860233064E-3</v>
      </c>
      <c r="AH108" s="149">
        <f t="shared" si="39"/>
        <v>-5.2174828761804655</v>
      </c>
      <c r="AI108" s="149">
        <f t="shared" si="40"/>
        <v>5.2438038302304282</v>
      </c>
      <c r="AJ108" s="149">
        <f t="shared" si="41"/>
        <v>-2.7863541132788088E-2</v>
      </c>
      <c r="AK108" s="149">
        <f t="shared" si="42"/>
        <v>-6.965885283197022E-3</v>
      </c>
      <c r="AL108" s="148">
        <f t="shared" si="50"/>
        <v>0.23698212064894508</v>
      </c>
    </row>
    <row r="109" spans="1:38" ht="21" customHeight="1" x14ac:dyDescent="0.3">
      <c r="A109" s="172"/>
      <c r="B109" s="159">
        <v>29</v>
      </c>
      <c r="C109" s="159">
        <v>173.42</v>
      </c>
      <c r="D109" s="159">
        <v>98.14</v>
      </c>
      <c r="E109" s="160">
        <v>1.1849999999999999E-2</v>
      </c>
      <c r="F109" s="160">
        <v>4.0519999999999998E-5</v>
      </c>
      <c r="G109" s="159">
        <v>0.34189999999999998</v>
      </c>
      <c r="H109" s="159">
        <v>0.99</v>
      </c>
      <c r="I109" s="159">
        <v>502</v>
      </c>
      <c r="J109" s="220">
        <v>1.73</v>
      </c>
      <c r="K109" s="173"/>
      <c r="L109" s="174">
        <f t="shared" si="43"/>
        <v>1.2299702813548326</v>
      </c>
      <c r="M109" s="174">
        <f t="shared" si="44"/>
        <v>0.71096548055192621</v>
      </c>
      <c r="N109" s="174">
        <f t="shared" si="45"/>
        <v>0.39421050616397818</v>
      </c>
      <c r="O109" s="174">
        <f t="shared" si="26"/>
        <v>500.25313232208833</v>
      </c>
      <c r="P109" s="174">
        <f t="shared" si="27"/>
        <v>2.0082904064322959</v>
      </c>
      <c r="Q109" s="175">
        <f t="shared" si="28"/>
        <v>2.0082904064322959</v>
      </c>
      <c r="R109" s="176">
        <f t="shared" si="29"/>
        <v>2.7161622556384835</v>
      </c>
      <c r="S109" s="177">
        <f t="shared" si="30"/>
        <v>5.0944619055812668</v>
      </c>
      <c r="T109" s="177">
        <f t="shared" si="31"/>
        <v>6.8901315748004244</v>
      </c>
      <c r="U109" s="167"/>
      <c r="V109" s="178">
        <f t="shared" si="46"/>
        <v>1.1711222019073974E-2</v>
      </c>
      <c r="W109" s="179">
        <f t="shared" si="47"/>
        <v>3.9576479995836469E-5</v>
      </c>
      <c r="X109" s="180">
        <f t="shared" si="32"/>
        <v>1.1895556570090254E-2</v>
      </c>
      <c r="Y109" s="180">
        <f t="shared" si="33"/>
        <v>6.1941791678071253E-5</v>
      </c>
      <c r="Z109" s="181">
        <f t="shared" si="34"/>
        <v>1.0440940102383678</v>
      </c>
      <c r="AA109" s="181">
        <f t="shared" si="35"/>
        <v>1.0354232087692889E-3</v>
      </c>
      <c r="AB109" s="181">
        <f t="shared" si="36"/>
        <v>-4.5053035165876873E-2</v>
      </c>
      <c r="AC109" s="181">
        <f t="shared" si="48"/>
        <v>1.1755715787913229E-2</v>
      </c>
      <c r="AD109" s="181">
        <f t="shared" si="49"/>
        <v>6.0494011642069789E-5</v>
      </c>
      <c r="AE109" s="267"/>
      <c r="AF109" s="182">
        <f t="shared" si="37"/>
        <v>4.0145483889529286E-3</v>
      </c>
      <c r="AG109" s="182">
        <f t="shared" si="38"/>
        <v>5.3826633340707912E-3</v>
      </c>
      <c r="AH109" s="149">
        <f t="shared" si="39"/>
        <v>-5.196019651242068</v>
      </c>
      <c r="AI109" s="149">
        <f t="shared" si="40"/>
        <v>5.2089097142533864</v>
      </c>
      <c r="AJ109" s="149">
        <f t="shared" si="41"/>
        <v>-1.3648812656830217E-2</v>
      </c>
      <c r="AK109" s="149">
        <f t="shared" si="42"/>
        <v>-3.4122031642075542E-3</v>
      </c>
      <c r="AL109" s="148">
        <f t="shared" si="50"/>
        <v>0.2411294086770695</v>
      </c>
    </row>
    <row r="110" spans="1:38" ht="21" customHeight="1" x14ac:dyDescent="0.3">
      <c r="A110" s="172"/>
      <c r="B110" s="159">
        <v>30</v>
      </c>
      <c r="C110" s="159">
        <v>190.16</v>
      </c>
      <c r="D110" s="159">
        <v>374.13</v>
      </c>
      <c r="E110" s="160">
        <v>1.1429999999999999E-2</v>
      </c>
      <c r="F110" s="160">
        <v>3.4749999999999998E-5</v>
      </c>
      <c r="G110" s="159">
        <v>0.30399999999999999</v>
      </c>
      <c r="H110" s="159">
        <v>1.01</v>
      </c>
      <c r="I110" s="159">
        <v>526</v>
      </c>
      <c r="J110" s="220">
        <v>2.35</v>
      </c>
      <c r="K110" s="173"/>
      <c r="L110" s="174">
        <f t="shared" si="43"/>
        <v>1.440725810530741</v>
      </c>
      <c r="M110" s="174">
        <f t="shared" si="44"/>
        <v>0.61307481299180466</v>
      </c>
      <c r="N110" s="174">
        <f t="shared" si="45"/>
        <v>0.36497609843737983</v>
      </c>
      <c r="O110" s="174">
        <f t="shared" si="26"/>
        <v>463.154668917035</v>
      </c>
      <c r="P110" s="174">
        <f t="shared" si="27"/>
        <v>0.80337915576686925</v>
      </c>
      <c r="Q110" s="175">
        <f t="shared" si="28"/>
        <v>0.80337915576686925</v>
      </c>
      <c r="R110" s="176">
        <f t="shared" si="29"/>
        <v>2.4902262169829106</v>
      </c>
      <c r="S110" s="177">
        <f t="shared" si="30"/>
        <v>2.2011829245983012</v>
      </c>
      <c r="T110" s="177">
        <f t="shared" si="31"/>
        <v>6.822984375263597</v>
      </c>
      <c r="U110" s="167"/>
      <c r="V110" s="178">
        <f t="shared" si="46"/>
        <v>1.130083149600071E-2</v>
      </c>
      <c r="W110" s="179">
        <f t="shared" si="47"/>
        <v>3.3969030091567353E-5</v>
      </c>
      <c r="X110" s="180">
        <f t="shared" si="32"/>
        <v>1.1457045103133494E-2</v>
      </c>
      <c r="Y110" s="180">
        <f t="shared" si="33"/>
        <v>5.7867190023195469E-5</v>
      </c>
      <c r="Z110" s="181">
        <f t="shared" si="34"/>
        <v>1.0440558327618659</v>
      </c>
      <c r="AA110" s="181">
        <f t="shared" si="35"/>
        <v>6.1467787057372877E-4</v>
      </c>
      <c r="AB110" s="181">
        <f t="shared" si="36"/>
        <v>-4.5013995579905541E-2</v>
      </c>
      <c r="AC110" s="181">
        <f t="shared" si="48"/>
        <v>1.1327268081824743E-2</v>
      </c>
      <c r="AD110" s="181">
        <f t="shared" si="49"/>
        <v>5.6563660439803676E-5</v>
      </c>
      <c r="AE110" s="267"/>
      <c r="AF110" s="182">
        <f t="shared" si="37"/>
        <v>1.7345807128434211E-3</v>
      </c>
      <c r="AG110" s="182">
        <f t="shared" si="38"/>
        <v>5.3678490667545525E-3</v>
      </c>
      <c r="AH110" s="149">
        <f t="shared" si="39"/>
        <v>-5.1842202636054342</v>
      </c>
      <c r="AI110" s="149">
        <f t="shared" si="40"/>
        <v>5.1897763287458361</v>
      </c>
      <c r="AJ110" s="149">
        <f t="shared" si="41"/>
        <v>-5.8839008951290179E-3</v>
      </c>
      <c r="AK110" s="149">
        <f t="shared" si="42"/>
        <v>-1.4709752237822545E-3</v>
      </c>
      <c r="AL110" s="148">
        <f t="shared" si="50"/>
        <v>0.24340937635317902</v>
      </c>
    </row>
    <row r="111" spans="1:38" ht="21" customHeight="1" x14ac:dyDescent="0.3">
      <c r="A111" s="172"/>
      <c r="B111" s="159">
        <v>31</v>
      </c>
      <c r="C111" s="159">
        <v>191.5</v>
      </c>
      <c r="D111" s="159">
        <v>114.73</v>
      </c>
      <c r="E111" s="160">
        <v>1.1900000000000001E-2</v>
      </c>
      <c r="F111" s="160">
        <v>6.1660000000000003E-5</v>
      </c>
      <c r="G111" s="159">
        <v>0.5181</v>
      </c>
      <c r="H111" s="159">
        <v>0.66</v>
      </c>
      <c r="I111" s="159">
        <v>225</v>
      </c>
      <c r="J111" s="220">
        <v>1.22</v>
      </c>
      <c r="K111" s="173"/>
      <c r="L111" s="174">
        <f t="shared" si="43"/>
        <v>0.71292210484244001</v>
      </c>
      <c r="M111" s="174">
        <f t="shared" si="44"/>
        <v>0.58436238101839355</v>
      </c>
      <c r="N111" s="174">
        <f t="shared" si="45"/>
        <v>0.13896230626177691</v>
      </c>
      <c r="O111" s="174">
        <f t="shared" si="26"/>
        <v>176.3431666461949</v>
      </c>
      <c r="P111" s="174">
        <f t="shared" si="27"/>
        <v>0.7559017177904066</v>
      </c>
      <c r="Q111" s="175">
        <f t="shared" si="28"/>
        <v>0.7559017177904066</v>
      </c>
      <c r="R111" s="176">
        <f t="shared" si="29"/>
        <v>0.95995464176216183</v>
      </c>
      <c r="S111" s="177">
        <f t="shared" si="30"/>
        <v>5.439616958907119</v>
      </c>
      <c r="T111" s="177">
        <f t="shared" si="31"/>
        <v>6.9080218052354505</v>
      </c>
      <c r="U111" s="167"/>
      <c r="V111" s="178">
        <f t="shared" si="46"/>
        <v>1.1760055341436901E-2</v>
      </c>
      <c r="W111" s="179">
        <f t="shared" si="47"/>
        <v>6.0218277485568735E-5</v>
      </c>
      <c r="X111" s="180">
        <f t="shared" si="32"/>
        <v>1.1947761384228978E-2</v>
      </c>
      <c r="Y111" s="180">
        <f t="shared" si="33"/>
        <v>7.8700189559692232E-5</v>
      </c>
      <c r="Z111" s="181">
        <f t="shared" si="34"/>
        <v>1.0440985553155291</v>
      </c>
      <c r="AA111" s="181">
        <f t="shared" si="35"/>
        <v>1.0855372398261883E-3</v>
      </c>
      <c r="AB111" s="181">
        <f t="shared" si="36"/>
        <v>-4.5057683957904313E-2</v>
      </c>
      <c r="AC111" s="181">
        <f t="shared" si="48"/>
        <v>1.1806697776460127E-2</v>
      </c>
      <c r="AD111" s="181">
        <f t="shared" si="49"/>
        <v>7.6852781511398363E-5</v>
      </c>
      <c r="AE111" s="267"/>
      <c r="AF111" s="182">
        <f t="shared" si="37"/>
        <v>4.2865381866880369E-3</v>
      </c>
      <c r="AG111" s="182">
        <f t="shared" si="38"/>
        <v>5.3902964496693765E-3</v>
      </c>
      <c r="AH111" s="149">
        <f t="shared" si="39"/>
        <v>-5.1974272646439221</v>
      </c>
      <c r="AI111" s="149">
        <f t="shared" si="40"/>
        <v>5.2111945907342632</v>
      </c>
      <c r="AJ111" s="149">
        <f t="shared" si="41"/>
        <v>-1.457748180762402E-2</v>
      </c>
      <c r="AK111" s="149">
        <f t="shared" si="42"/>
        <v>-3.6443704519060049E-3</v>
      </c>
      <c r="AL111" s="148">
        <f t="shared" si="50"/>
        <v>0.2408574188793344</v>
      </c>
    </row>
    <row r="112" spans="1:38" ht="21" customHeight="1" x14ac:dyDescent="0.3">
      <c r="A112" s="172"/>
      <c r="B112" s="159">
        <v>35</v>
      </c>
      <c r="C112" s="159">
        <v>243.41</v>
      </c>
      <c r="D112" s="159">
        <v>50.51</v>
      </c>
      <c r="E112" s="160">
        <v>1.1679999999999999E-2</v>
      </c>
      <c r="F112" s="160">
        <v>3.9579999999999997E-5</v>
      </c>
      <c r="G112" s="159">
        <v>0.3387</v>
      </c>
      <c r="H112" s="159">
        <v>0.99</v>
      </c>
      <c r="I112" s="159">
        <v>509</v>
      </c>
      <c r="J112" s="220">
        <v>2.21</v>
      </c>
      <c r="K112" s="173"/>
      <c r="L112" s="174">
        <f t="shared" si="43"/>
        <v>1.3787845728579122</v>
      </c>
      <c r="M112" s="174">
        <f t="shared" si="44"/>
        <v>0.62388442210765271</v>
      </c>
      <c r="N112" s="174">
        <f t="shared" si="45"/>
        <v>0.35792286809769519</v>
      </c>
      <c r="O112" s="174">
        <f t="shared" si="26"/>
        <v>454.20411961597517</v>
      </c>
      <c r="P112" s="174">
        <f t="shared" si="27"/>
        <v>1.4038011242804587</v>
      </c>
      <c r="Q112" s="175">
        <f t="shared" si="28"/>
        <v>1.4038011242804587</v>
      </c>
      <c r="R112" s="176">
        <f t="shared" si="29"/>
        <v>2.4548319411825972</v>
      </c>
      <c r="S112" s="177">
        <f t="shared" si="30"/>
        <v>3.9220772110523283</v>
      </c>
      <c r="T112" s="177">
        <f t="shared" si="31"/>
        <v>6.8585501514045468</v>
      </c>
      <c r="U112" s="167"/>
      <c r="V112" s="178">
        <f t="shared" si="46"/>
        <v>1.1545152617428436E-2</v>
      </c>
      <c r="W112" s="179">
        <f t="shared" si="47"/>
        <v>3.8671361358732192E-5</v>
      </c>
      <c r="X112" s="180">
        <f t="shared" si="32"/>
        <v>1.171806190186302E-2</v>
      </c>
      <c r="Y112" s="180">
        <f t="shared" si="33"/>
        <v>6.1221326998590168E-5</v>
      </c>
      <c r="Z112" s="181">
        <f t="shared" si="34"/>
        <v>1.0440785571980074</v>
      </c>
      <c r="AA112" s="181">
        <f t="shared" si="35"/>
        <v>8.6507576922353609E-4</v>
      </c>
      <c r="AB112" s="181">
        <f t="shared" si="36"/>
        <v>-4.5037231218252316E-2</v>
      </c>
      <c r="AC112" s="181">
        <f t="shared" si="48"/>
        <v>1.1582339332595285E-2</v>
      </c>
      <c r="AD112" s="181">
        <f t="shared" si="49"/>
        <v>5.9811367508006808E-5</v>
      </c>
      <c r="AE112" s="267"/>
      <c r="AF112" s="182">
        <f t="shared" si="37"/>
        <v>3.090683381443915E-3</v>
      </c>
      <c r="AG112" s="182">
        <f t="shared" si="38"/>
        <v>5.376804548609523E-3</v>
      </c>
      <c r="AH112" s="149">
        <f t="shared" si="39"/>
        <v>-5.191238424972175</v>
      </c>
      <c r="AI112" s="149">
        <f t="shared" si="40"/>
        <v>5.2011524384656402</v>
      </c>
      <c r="AJ112" s="149">
        <f t="shared" si="41"/>
        <v>-1.0498152652557022E-2</v>
      </c>
      <c r="AK112" s="149">
        <f t="shared" si="42"/>
        <v>-2.6245381631392556E-3</v>
      </c>
      <c r="AL112" s="148">
        <f t="shared" si="50"/>
        <v>0.24205327368457852</v>
      </c>
    </row>
    <row r="113" spans="1:38" ht="21" customHeight="1" x14ac:dyDescent="0.3">
      <c r="A113" s="172"/>
      <c r="B113" s="159">
        <v>33</v>
      </c>
      <c r="C113" s="159">
        <v>204.36</v>
      </c>
      <c r="D113" s="159">
        <v>99.44</v>
      </c>
      <c r="E113" s="160">
        <v>1.1820000000000001E-2</v>
      </c>
      <c r="F113" s="160">
        <v>7.4220000000000004E-5</v>
      </c>
      <c r="G113" s="159">
        <v>0.62790000000000001</v>
      </c>
      <c r="H113" s="159">
        <v>0.56000000000000005</v>
      </c>
      <c r="I113" s="159">
        <v>160</v>
      </c>
      <c r="J113" s="220">
        <v>1.31</v>
      </c>
      <c r="K113" s="173"/>
      <c r="L113" s="174">
        <f t="shared" si="43"/>
        <v>0.61845103042984206</v>
      </c>
      <c r="M113" s="174">
        <f t="shared" si="44"/>
        <v>0.47210002322888711</v>
      </c>
      <c r="N113" s="174">
        <f t="shared" si="45"/>
        <v>8.0712037796365085E-2</v>
      </c>
      <c r="O113" s="174">
        <f t="shared" si="26"/>
        <v>102.4235759635873</v>
      </c>
      <c r="P113" s="174">
        <f t="shared" si="27"/>
        <v>0.39447542229348309</v>
      </c>
      <c r="Q113" s="175">
        <f t="shared" si="28"/>
        <v>0.39447542229348309</v>
      </c>
      <c r="R113" s="176">
        <f t="shared" si="29"/>
        <v>0.55671084906403268</v>
      </c>
      <c r="S113" s="177">
        <f t="shared" si="30"/>
        <v>4.887442233694272</v>
      </c>
      <c r="T113" s="177">
        <f t="shared" si="31"/>
        <v>6.8974946521435063</v>
      </c>
      <c r="U113" s="167"/>
      <c r="V113" s="178">
        <f t="shared" si="46"/>
        <v>1.1681919709039158E-2</v>
      </c>
      <c r="W113" s="179">
        <f t="shared" si="47"/>
        <v>7.249606443754336E-5</v>
      </c>
      <c r="X113" s="180">
        <f t="shared" si="32"/>
        <v>1.1864233790688612E-2</v>
      </c>
      <c r="Y113" s="180">
        <f t="shared" si="33"/>
        <v>8.9726123003897515E-5</v>
      </c>
      <c r="Z113" s="181">
        <f t="shared" si="34"/>
        <v>1.0440912832063163</v>
      </c>
      <c r="AA113" s="181">
        <f t="shared" si="35"/>
        <v>1.0053573740835089E-3</v>
      </c>
      <c r="AB113" s="181">
        <f t="shared" si="36"/>
        <v>-4.5050246015491964E-2</v>
      </c>
      <c r="AC113" s="181">
        <f t="shared" si="48"/>
        <v>1.1725124176236881E-2</v>
      </c>
      <c r="AD113" s="181">
        <f t="shared" si="49"/>
        <v>8.7634358551868095E-5</v>
      </c>
      <c r="AE113" s="267"/>
      <c r="AF113" s="182">
        <f t="shared" si="37"/>
        <v>3.8514123196960377E-3</v>
      </c>
      <c r="AG113" s="182">
        <f t="shared" si="38"/>
        <v>5.3922622330096499E-3</v>
      </c>
      <c r="AH113" s="149">
        <f t="shared" si="39"/>
        <v>-5.1951753823785882</v>
      </c>
      <c r="AI113" s="149">
        <f t="shared" si="40"/>
        <v>5.2075395143697065</v>
      </c>
      <c r="AJ113" s="149">
        <f t="shared" si="41"/>
        <v>-1.3092048919542342E-2</v>
      </c>
      <c r="AK113" s="149">
        <f t="shared" si="42"/>
        <v>-3.2730122298855855E-3</v>
      </c>
      <c r="AL113" s="148">
        <f t="shared" si="50"/>
        <v>0.24129254474632639</v>
      </c>
    </row>
    <row r="114" spans="1:38" ht="21" customHeight="1" x14ac:dyDescent="0.3">
      <c r="A114" s="172"/>
      <c r="B114" s="159">
        <v>34</v>
      </c>
      <c r="C114" s="159">
        <v>207.22</v>
      </c>
      <c r="D114" s="159">
        <v>58.04</v>
      </c>
      <c r="E114" s="160">
        <v>6.8440000000000001E-2</v>
      </c>
      <c r="F114" s="160">
        <v>1.109E-4</v>
      </c>
      <c r="G114" s="159">
        <v>0.16209999999999999</v>
      </c>
      <c r="H114" s="159">
        <v>0.86</v>
      </c>
      <c r="I114" s="159">
        <v>384</v>
      </c>
      <c r="J114" s="220">
        <v>1.76</v>
      </c>
      <c r="K114" s="173"/>
      <c r="L114" s="174">
        <f t="shared" si="43"/>
        <v>1.0837225713968974</v>
      </c>
      <c r="M114" s="174">
        <f t="shared" si="44"/>
        <v>0.61575146102096445</v>
      </c>
      <c r="N114" s="174">
        <f t="shared" si="45"/>
        <v>0.26159458424335008</v>
      </c>
      <c r="O114" s="174">
        <f t="shared" si="26"/>
        <v>331.96352740481126</v>
      </c>
      <c r="P114" s="174">
        <f t="shared" si="27"/>
        <v>137.66843957469627</v>
      </c>
      <c r="Q114" s="175">
        <f t="shared" si="28"/>
        <v>137.66843957469627</v>
      </c>
      <c r="R114" s="176">
        <f t="shared" si="29"/>
        <v>25.396658494224859</v>
      </c>
      <c r="S114" s="177">
        <f t="shared" si="30"/>
        <v>526.26639795657729</v>
      </c>
      <c r="T114" s="177">
        <f t="shared" si="31"/>
        <v>97.084037758975356</v>
      </c>
      <c r="U114" s="167"/>
      <c r="V114" s="178">
        <f t="shared" si="46"/>
        <v>6.405600688854779E-2</v>
      </c>
      <c r="W114" s="179">
        <f t="shared" si="47"/>
        <v>9.7147419448972365E-5</v>
      </c>
      <c r="X114" s="180">
        <f t="shared" si="32"/>
        <v>7.1126748405707263E-2</v>
      </c>
      <c r="Y114" s="180">
        <f t="shared" si="33"/>
        <v>2.7576633810793487E-4</v>
      </c>
      <c r="Z114" s="181">
        <f t="shared" si="34"/>
        <v>1.0492571825896315</v>
      </c>
      <c r="AA114" s="181">
        <f t="shared" si="35"/>
        <v>6.1216014248246249E-2</v>
      </c>
      <c r="AB114" s="181">
        <f t="shared" si="36"/>
        <v>-5.0481750490608074E-2</v>
      </c>
      <c r="AC114" s="181">
        <f t="shared" si="48"/>
        <v>6.6403671191643907E-2</v>
      </c>
      <c r="AD114" s="181">
        <f t="shared" si="49"/>
        <v>2.4035852082836484E-4</v>
      </c>
      <c r="AE114" s="267"/>
      <c r="AF114" s="182">
        <f t="shared" si="37"/>
        <v>0.41470953345671974</v>
      </c>
      <c r="AG114" s="182">
        <f t="shared" si="38"/>
        <v>2.0980252638536555E-2</v>
      </c>
      <c r="AH114" s="149">
        <f t="shared" si="39"/>
        <v>-7.3214661564773547</v>
      </c>
      <c r="AI114" s="149">
        <f t="shared" si="40"/>
        <v>9.2297731423885878</v>
      </c>
      <c r="AJ114" s="149">
        <f t="shared" si="41"/>
        <v>-1.9866870877345522</v>
      </c>
      <c r="AK114" s="149">
        <f t="shared" si="42"/>
        <v>-0.49667177193363804</v>
      </c>
      <c r="AL114" s="148">
        <f t="shared" si="50"/>
        <v>0.1695655763906973</v>
      </c>
    </row>
    <row r="115" spans="1:38" ht="21" customHeight="1" x14ac:dyDescent="0.3">
      <c r="A115" s="172"/>
      <c r="B115" s="159">
        <v>25</v>
      </c>
      <c r="C115" s="159">
        <v>153.54</v>
      </c>
      <c r="D115" s="159">
        <v>345.56</v>
      </c>
      <c r="E115" s="160">
        <v>1.243E-2</v>
      </c>
      <c r="F115" s="160">
        <v>4.5330000000000001E-5</v>
      </c>
      <c r="G115" s="159">
        <v>0.36470000000000002</v>
      </c>
      <c r="H115" s="159">
        <v>0.83</v>
      </c>
      <c r="I115" s="159">
        <v>357</v>
      </c>
      <c r="J115" s="220">
        <v>1.3</v>
      </c>
      <c r="K115" s="173"/>
      <c r="L115" s="174">
        <f t="shared" si="43"/>
        <v>0.9209646354988178</v>
      </c>
      <c r="M115" s="174">
        <f t="shared" si="44"/>
        <v>0.70843433499909059</v>
      </c>
      <c r="N115" s="174">
        <f t="shared" si="45"/>
        <v>0.26993887228624064</v>
      </c>
      <c r="O115" s="174">
        <f t="shared" si="26"/>
        <v>342.55242893123938</v>
      </c>
      <c r="P115" s="174">
        <f t="shared" si="27"/>
        <v>2.4585174567717667</v>
      </c>
      <c r="Q115" s="175">
        <f t="shared" si="28"/>
        <v>2.4585174567717667</v>
      </c>
      <c r="R115" s="176">
        <f t="shared" si="29"/>
        <v>1.9020097309442627</v>
      </c>
      <c r="S115" s="177">
        <f t="shared" si="30"/>
        <v>9.1076821798558072</v>
      </c>
      <c r="T115" s="177">
        <f t="shared" si="31"/>
        <v>7.0460757090493793</v>
      </c>
      <c r="U115" s="167"/>
      <c r="V115" s="178">
        <f t="shared" si="46"/>
        <v>1.2277392017225884E-2</v>
      </c>
      <c r="W115" s="179">
        <f t="shared" si="47"/>
        <v>4.4223764428018884E-5</v>
      </c>
      <c r="X115" s="180">
        <f t="shared" si="32"/>
        <v>1.25011463860042E-2</v>
      </c>
      <c r="Y115" s="180">
        <f t="shared" si="33"/>
        <v>6.5701736565885988E-5</v>
      </c>
      <c r="Z115" s="181">
        <f t="shared" si="34"/>
        <v>1.0441467349580951</v>
      </c>
      <c r="AA115" s="181">
        <f t="shared" si="35"/>
        <v>1.6170769469690603E-3</v>
      </c>
      <c r="AB115" s="181">
        <f t="shared" si="36"/>
        <v>-4.5106977143050786E-2</v>
      </c>
      <c r="AC115" s="181">
        <f t="shared" si="48"/>
        <v>1.234679726598382E-2</v>
      </c>
      <c r="AD115" s="181">
        <f t="shared" si="49"/>
        <v>6.4089340319369029E-5</v>
      </c>
      <c r="AE115" s="267"/>
      <c r="AF115" s="182">
        <f t="shared" si="37"/>
        <v>7.1770545152528035E-3</v>
      </c>
      <c r="AG115" s="182">
        <f t="shared" si="38"/>
        <v>5.4045074417256077E-3</v>
      </c>
      <c r="AH115" s="149">
        <f t="shared" si="39"/>
        <v>-5.2123863901561549</v>
      </c>
      <c r="AI115" s="149">
        <f t="shared" si="40"/>
        <v>5.2355076060121961</v>
      </c>
      <c r="AJ115" s="149">
        <f t="shared" si="41"/>
        <v>-2.4477679159425048E-2</v>
      </c>
      <c r="AK115" s="149">
        <f t="shared" si="42"/>
        <v>-6.1194197898562621E-3</v>
      </c>
      <c r="AL115" s="148">
        <f t="shared" si="50"/>
        <v>0.23796690255076963</v>
      </c>
    </row>
    <row r="116" spans="1:38" ht="21" customHeight="1" x14ac:dyDescent="0.3">
      <c r="A116" s="172"/>
      <c r="B116" s="159">
        <v>22</v>
      </c>
      <c r="C116" s="159">
        <v>141.85</v>
      </c>
      <c r="D116" s="159">
        <v>369.85</v>
      </c>
      <c r="E116" s="160">
        <v>5.6210000000000003E-2</v>
      </c>
      <c r="F116" s="160">
        <v>8.5149999999999996E-5</v>
      </c>
      <c r="G116" s="159">
        <v>0.1515</v>
      </c>
      <c r="H116" s="159">
        <v>0.95</v>
      </c>
      <c r="I116" s="159">
        <v>465</v>
      </c>
      <c r="J116" s="220">
        <v>1.92</v>
      </c>
      <c r="K116" s="173"/>
      <c r="L116" s="174">
        <f t="shared" si="43"/>
        <v>1.2384396397115152</v>
      </c>
      <c r="M116" s="174">
        <f t="shared" si="44"/>
        <v>0.64502064568308082</v>
      </c>
      <c r="N116" s="174">
        <f t="shared" si="45"/>
        <v>0.33442322168047517</v>
      </c>
      <c r="O116" s="174">
        <f t="shared" si="26"/>
        <v>424.38306831252299</v>
      </c>
      <c r="P116" s="174">
        <f t="shared" si="27"/>
        <v>129.11957758026978</v>
      </c>
      <c r="Q116" s="175">
        <f t="shared" si="28"/>
        <v>129.11957758026978</v>
      </c>
      <c r="R116" s="176">
        <f t="shared" si="29"/>
        <v>23.770316324153708</v>
      </c>
      <c r="S116" s="177">
        <f t="shared" si="30"/>
        <v>386.0963270775411</v>
      </c>
      <c r="T116" s="177">
        <f t="shared" si="31"/>
        <v>71.07854593562007</v>
      </c>
      <c r="U116" s="167"/>
      <c r="V116" s="178">
        <f t="shared" si="46"/>
        <v>5.3218583425644519E-2</v>
      </c>
      <c r="W116" s="179">
        <f t="shared" si="47"/>
        <v>7.6328038573111737E-5</v>
      </c>
      <c r="X116" s="180">
        <f t="shared" si="32"/>
        <v>5.8301178080013824E-2</v>
      </c>
      <c r="Y116" s="180">
        <f t="shared" si="33"/>
        <v>2.1605059758502806E-4</v>
      </c>
      <c r="Z116" s="181">
        <f t="shared" si="34"/>
        <v>1.0481380997185921</v>
      </c>
      <c r="AA116" s="181">
        <f t="shared" si="35"/>
        <v>4.7620872262268181E-2</v>
      </c>
      <c r="AB116" s="181">
        <f t="shared" si="36"/>
        <v>-4.9280060875123981E-2</v>
      </c>
      <c r="AC116" s="181">
        <f t="shared" si="48"/>
        <v>5.5089401096372885E-2</v>
      </c>
      <c r="AD116" s="181">
        <f t="shared" si="49"/>
        <v>1.9290208098220654E-4</v>
      </c>
      <c r="AE116" s="267"/>
      <c r="AF116" s="182">
        <f t="shared" si="37"/>
        <v>0.30425242480499692</v>
      </c>
      <c r="AG116" s="182">
        <f t="shared" si="38"/>
        <v>1.4963279383390366E-2</v>
      </c>
      <c r="AH116" s="149">
        <f t="shared" si="39"/>
        <v>-6.7498237354639583</v>
      </c>
      <c r="AI116" s="149">
        <f t="shared" si="40"/>
        <v>8.0360557742394079</v>
      </c>
      <c r="AJ116" s="149">
        <f t="shared" si="41"/>
        <v>-1.3437357470635927</v>
      </c>
      <c r="AK116" s="149">
        <f t="shared" si="42"/>
        <v>-0.33593393676589817</v>
      </c>
      <c r="AL116" s="148">
        <f t="shared" si="50"/>
        <v>5.9108467738974491E-2</v>
      </c>
    </row>
    <row r="117" spans="1:38" ht="21" customHeight="1" x14ac:dyDescent="0.3">
      <c r="A117" s="172"/>
      <c r="B117" s="159">
        <v>5</v>
      </c>
      <c r="C117" s="159">
        <v>75.64</v>
      </c>
      <c r="D117" s="159">
        <v>200.32</v>
      </c>
      <c r="E117" s="160">
        <v>4.8219999999999999E-2</v>
      </c>
      <c r="F117" s="160">
        <v>8.6390000000000005E-5</v>
      </c>
      <c r="G117" s="159">
        <v>0.1792</v>
      </c>
      <c r="H117" s="159">
        <v>0.93</v>
      </c>
      <c r="I117" s="159">
        <v>440</v>
      </c>
      <c r="J117" s="220">
        <v>1.61</v>
      </c>
      <c r="K117" s="173"/>
      <c r="L117" s="174">
        <f t="shared" si="43"/>
        <v>1.1167685510999021</v>
      </c>
      <c r="M117" s="174">
        <f t="shared" si="44"/>
        <v>0.69364506279497029</v>
      </c>
      <c r="N117" s="174">
        <f t="shared" si="45"/>
        <v>0.33464111519173684</v>
      </c>
      <c r="O117" s="174">
        <f t="shared" si="26"/>
        <v>424.65957517831407</v>
      </c>
      <c r="P117" s="174">
        <f t="shared" si="27"/>
        <v>101.82996428217747</v>
      </c>
      <c r="Q117" s="175">
        <f t="shared" si="28"/>
        <v>101.82996428217747</v>
      </c>
      <c r="R117" s="176">
        <f t="shared" si="29"/>
        <v>18.763056966902834</v>
      </c>
      <c r="S117" s="177">
        <f t="shared" si="30"/>
        <v>304.29603434662442</v>
      </c>
      <c r="T117" s="177">
        <f t="shared" si="31"/>
        <v>56.069192084039955</v>
      </c>
      <c r="U117" s="167"/>
      <c r="V117" s="178">
        <f t="shared" si="46"/>
        <v>4.6001793516628191E-2</v>
      </c>
      <c r="W117" s="179">
        <f t="shared" si="47"/>
        <v>7.8624625611129821E-5</v>
      </c>
      <c r="X117" s="180">
        <f t="shared" si="32"/>
        <v>4.9929472093212086E-2</v>
      </c>
      <c r="Y117" s="180">
        <f t="shared" si="33"/>
        <v>1.8646785589999872E-4</v>
      </c>
      <c r="Z117" s="181">
        <f t="shared" si="34"/>
        <v>1.0474079565937287</v>
      </c>
      <c r="AA117" s="181">
        <f t="shared" si="35"/>
        <v>3.8914999028314814E-2</v>
      </c>
      <c r="AB117" s="181">
        <f t="shared" si="36"/>
        <v>-4.8503483440276947E-2</v>
      </c>
      <c r="AC117" s="181">
        <f t="shared" si="48"/>
        <v>4.755507243135982E-2</v>
      </c>
      <c r="AD117" s="181">
        <f t="shared" si="49"/>
        <v>1.6915456535616388E-4</v>
      </c>
      <c r="AE117" s="267"/>
      <c r="AF117" s="182">
        <f t="shared" si="37"/>
        <v>0.2397919892408388</v>
      </c>
      <c r="AG117" s="182">
        <f t="shared" si="38"/>
        <v>1.1938855905062678E-2</v>
      </c>
      <c r="AH117" s="149">
        <f t="shared" si="39"/>
        <v>-6.4162252926361809</v>
      </c>
      <c r="AI117" s="149">
        <f t="shared" si="40"/>
        <v>7.3776083098482159</v>
      </c>
      <c r="AJ117" s="149">
        <f t="shared" si="41"/>
        <v>-1.0067037031785555</v>
      </c>
      <c r="AK117" s="149">
        <f t="shared" si="42"/>
        <v>-0.25167592579463888</v>
      </c>
      <c r="AL117" s="148">
        <f t="shared" si="50"/>
        <v>5.3519678251836289E-3</v>
      </c>
    </row>
    <row r="118" spans="1:38" ht="21" customHeight="1" x14ac:dyDescent="0.3">
      <c r="A118" s="172"/>
      <c r="B118" s="159">
        <v>48</v>
      </c>
      <c r="C118" s="159">
        <v>401.48</v>
      </c>
      <c r="D118" s="159">
        <v>372.33</v>
      </c>
      <c r="E118" s="160">
        <v>7.8670000000000004E-2</v>
      </c>
      <c r="F118" s="160">
        <v>1.0730000000000001E-4</v>
      </c>
      <c r="G118" s="159">
        <v>0.13639999999999999</v>
      </c>
      <c r="H118" s="159">
        <v>0.94</v>
      </c>
      <c r="I118" s="159">
        <v>458</v>
      </c>
      <c r="J118" s="220">
        <v>1.63</v>
      </c>
      <c r="K118" s="173"/>
      <c r="L118" s="174">
        <f t="shared" si="43"/>
        <v>1.14535750057949</v>
      </c>
      <c r="M118" s="174">
        <f t="shared" si="44"/>
        <v>0.7026733132389511</v>
      </c>
      <c r="N118" s="174">
        <f t="shared" si="45"/>
        <v>0.35332844936085334</v>
      </c>
      <c r="O118" s="174">
        <f t="shared" si="26"/>
        <v>448.37380223892291</v>
      </c>
      <c r="P118" s="174">
        <f t="shared" si="27"/>
        <v>233.22420603812776</v>
      </c>
      <c r="Q118" s="175">
        <f t="shared" si="28"/>
        <v>233.22420603812776</v>
      </c>
      <c r="R118" s="176">
        <f t="shared" si="29"/>
        <v>43.183857642811112</v>
      </c>
      <c r="S118" s="177">
        <f t="shared" si="30"/>
        <v>660.07763162013748</v>
      </c>
      <c r="T118" s="177">
        <f t="shared" si="31"/>
        <v>122.22015442268437</v>
      </c>
      <c r="U118" s="167"/>
      <c r="V118" s="178">
        <f t="shared" si="46"/>
        <v>7.2932407501830956E-2</v>
      </c>
      <c r="W118" s="179">
        <f t="shared" si="47"/>
        <v>9.2219448649775675E-5</v>
      </c>
      <c r="X118" s="180">
        <f t="shared" si="32"/>
        <v>8.1865443389369394E-2</v>
      </c>
      <c r="Y118" s="180">
        <f t="shared" si="33"/>
        <v>3.1660422769083651E-4</v>
      </c>
      <c r="Z118" s="181">
        <f t="shared" si="34"/>
        <v>1.0501946364169121</v>
      </c>
      <c r="AA118" s="181">
        <f t="shared" si="35"/>
        <v>7.2838853303052314E-2</v>
      </c>
      <c r="AB118" s="181">
        <f t="shared" si="36"/>
        <v>-5.1499044854403375E-2</v>
      </c>
      <c r="AC118" s="181">
        <f t="shared" si="48"/>
        <v>7.5670633431911521E-2</v>
      </c>
      <c r="AD118" s="181">
        <f t="shared" si="49"/>
        <v>2.7050183275788829E-4</v>
      </c>
      <c r="AE118" s="267"/>
      <c r="AF118" s="182">
        <f t="shared" si="37"/>
        <v>0.52015573807733451</v>
      </c>
      <c r="AG118" s="182">
        <f t="shared" si="38"/>
        <v>2.7582682087600421E-2</v>
      </c>
      <c r="AH118" s="149">
        <f t="shared" si="39"/>
        <v>-7.8671759295446577</v>
      </c>
      <c r="AI118" s="149">
        <f t="shared" si="40"/>
        <v>10.446429178416041</v>
      </c>
      <c r="AJ118" s="149">
        <f t="shared" si="41"/>
        <v>-2.6775626833679955</v>
      </c>
      <c r="AK118" s="149">
        <f t="shared" si="42"/>
        <v>-0.66939067084199888</v>
      </c>
      <c r="AL118" s="148">
        <f t="shared" si="50"/>
        <v>0.27501178101131207</v>
      </c>
    </row>
    <row r="119" spans="1:38" ht="21" customHeight="1" x14ac:dyDescent="0.3">
      <c r="A119" s="172"/>
      <c r="B119" s="159">
        <v>32</v>
      </c>
      <c r="C119" s="159">
        <v>199.34</v>
      </c>
      <c r="D119" s="159">
        <v>31.78</v>
      </c>
      <c r="E119" s="160">
        <v>7.4209999999999998E-2</v>
      </c>
      <c r="F119" s="160">
        <v>1.156E-4</v>
      </c>
      <c r="G119" s="159">
        <v>0.15579999999999999</v>
      </c>
      <c r="H119" s="159">
        <v>0.87</v>
      </c>
      <c r="I119" s="159">
        <v>391</v>
      </c>
      <c r="J119" s="220">
        <v>1.68</v>
      </c>
      <c r="K119" s="173"/>
      <c r="L119" s="174">
        <f t="shared" si="43"/>
        <v>1.0719631930380304</v>
      </c>
      <c r="M119" s="174">
        <f t="shared" si="44"/>
        <v>0.63807332918930382</v>
      </c>
      <c r="N119" s="174">
        <f t="shared" si="45"/>
        <v>0.27476522572253342</v>
      </c>
      <c r="O119" s="174">
        <f t="shared" si="26"/>
        <v>348.6770714418949</v>
      </c>
      <c r="P119" s="174">
        <f t="shared" si="27"/>
        <v>164.77125225320145</v>
      </c>
      <c r="Q119" s="175">
        <f t="shared" si="28"/>
        <v>164.77125225320145</v>
      </c>
      <c r="R119" s="176">
        <f t="shared" si="29"/>
        <v>30.454317211709427</v>
      </c>
      <c r="S119" s="177">
        <f t="shared" si="30"/>
        <v>599.68015173649621</v>
      </c>
      <c r="T119" s="177">
        <f t="shared" si="31"/>
        <v>110.83759646667646</v>
      </c>
      <c r="U119" s="167"/>
      <c r="V119" s="178">
        <f t="shared" si="46"/>
        <v>6.908332635145828E-2</v>
      </c>
      <c r="W119" s="179">
        <f t="shared" si="47"/>
        <v>1.0017963663880568E-4</v>
      </c>
      <c r="X119" s="180">
        <f t="shared" si="32"/>
        <v>7.7182487154419194E-2</v>
      </c>
      <c r="Y119" s="180">
        <f t="shared" si="33"/>
        <v>3.0126475645015174E-4</v>
      </c>
      <c r="Z119" s="181">
        <f t="shared" si="34"/>
        <v>1.0497857778018727</v>
      </c>
      <c r="AA119" s="181">
        <f t="shared" si="35"/>
        <v>6.7743464457851454E-2</v>
      </c>
      <c r="AB119" s="181">
        <f t="shared" si="36"/>
        <v>-5.1054172867815925E-2</v>
      </c>
      <c r="AC119" s="181">
        <f t="shared" si="48"/>
        <v>7.1652192710922463E-2</v>
      </c>
      <c r="AD119" s="181">
        <f t="shared" si="49"/>
        <v>2.5963889999994325E-4</v>
      </c>
      <c r="AE119" s="267"/>
      <c r="AF119" s="182">
        <f t="shared" si="37"/>
        <v>0.47256119128171487</v>
      </c>
      <c r="AG119" s="182">
        <f t="shared" si="38"/>
        <v>2.4504703727297746E-2</v>
      </c>
      <c r="AH119" s="149">
        <f t="shared" si="39"/>
        <v>-7.6208625660193752</v>
      </c>
      <c r="AI119" s="149">
        <f t="shared" si="40"/>
        <v>9.8879515342209814</v>
      </c>
      <c r="AJ119" s="149">
        <f t="shared" si="41"/>
        <v>-2.3564030333538484</v>
      </c>
      <c r="AK119" s="149">
        <f t="shared" si="42"/>
        <v>-0.58910075833846209</v>
      </c>
      <c r="AL119" s="148">
        <f t="shared" si="50"/>
        <v>0.22741723421569243</v>
      </c>
    </row>
    <row r="120" spans="1:38" ht="21" customHeight="1" x14ac:dyDescent="0.3">
      <c r="A120" s="172"/>
      <c r="B120" s="159">
        <v>40</v>
      </c>
      <c r="C120" s="159">
        <v>355.93</v>
      </c>
      <c r="D120" s="159">
        <v>376.66</v>
      </c>
      <c r="E120" s="160">
        <v>1.3650000000000001E-2</v>
      </c>
      <c r="F120" s="160">
        <v>5.7979999999999997E-5</v>
      </c>
      <c r="G120" s="159">
        <v>0.4249</v>
      </c>
      <c r="H120" s="159">
        <v>0.71</v>
      </c>
      <c r="I120" s="159">
        <v>258</v>
      </c>
      <c r="J120" s="220">
        <v>1.5</v>
      </c>
      <c r="K120" s="173"/>
      <c r="L120" s="174">
        <f t="shared" si="43"/>
        <v>0.83012273678071802</v>
      </c>
      <c r="M120" s="174">
        <f t="shared" si="44"/>
        <v>0.55341515785381201</v>
      </c>
      <c r="N120" s="174">
        <f t="shared" si="45"/>
        <v>0.15530656755937328</v>
      </c>
      <c r="O120" s="174">
        <f t="shared" si="26"/>
        <v>197.08403423284469</v>
      </c>
      <c r="P120" s="174">
        <f t="shared" si="27"/>
        <v>2.7360537475514808</v>
      </c>
      <c r="Q120" s="175">
        <f t="shared" si="28"/>
        <v>2.7360537475514808</v>
      </c>
      <c r="R120" s="176">
        <f t="shared" si="29"/>
        <v>1.1803172323253299</v>
      </c>
      <c r="S120" s="177">
        <f t="shared" si="30"/>
        <v>17.617115557624405</v>
      </c>
      <c r="T120" s="177">
        <f t="shared" si="31"/>
        <v>7.5999183477807382</v>
      </c>
      <c r="U120" s="167"/>
      <c r="V120" s="178">
        <f t="shared" si="46"/>
        <v>1.3466186553544124E-2</v>
      </c>
      <c r="W120" s="179">
        <f t="shared" si="47"/>
        <v>5.6428974994944517E-5</v>
      </c>
      <c r="X120" s="180">
        <f t="shared" si="32"/>
        <v>1.3775073060078186E-2</v>
      </c>
      <c r="Y120" s="180">
        <f t="shared" si="33"/>
        <v>7.6420147825792111E-5</v>
      </c>
      <c r="Z120" s="181">
        <f t="shared" si="34"/>
        <v>1.0442576517151814</v>
      </c>
      <c r="AA120" s="181">
        <f t="shared" si="35"/>
        <v>2.8429202884850866E-3</v>
      </c>
      <c r="AB120" s="181">
        <f t="shared" si="36"/>
        <v>-4.5220555545350538E-2</v>
      </c>
      <c r="AC120" s="181">
        <f t="shared" si="48"/>
        <v>1.3587898761900068E-2</v>
      </c>
      <c r="AD120" s="181">
        <f t="shared" si="49"/>
        <v>7.4357478889499744E-5</v>
      </c>
      <c r="AE120" s="267"/>
      <c r="AF120" s="182">
        <f t="shared" si="37"/>
        <v>1.3882675774329712E-2</v>
      </c>
      <c r="AG120" s="182">
        <f t="shared" si="38"/>
        <v>5.4590596024370105E-3</v>
      </c>
      <c r="AH120" s="149">
        <f t="shared" si="39"/>
        <v>-5.247089612227847</v>
      </c>
      <c r="AI120" s="149">
        <f t="shared" si="40"/>
        <v>5.292128531771211</v>
      </c>
      <c r="AJ120" s="149">
        <f t="shared" si="41"/>
        <v>-4.7662745264710663E-2</v>
      </c>
      <c r="AK120" s="149">
        <f t="shared" si="42"/>
        <v>-1.1915686316177666E-2</v>
      </c>
      <c r="AL120" s="148">
        <f t="shared" si="50"/>
        <v>0.23126128129169271</v>
      </c>
    </row>
    <row r="121" spans="1:38" ht="21" customHeight="1" x14ac:dyDescent="0.3">
      <c r="A121" s="172"/>
      <c r="B121" s="159">
        <v>20</v>
      </c>
      <c r="C121" s="159">
        <v>128.84</v>
      </c>
      <c r="D121" s="159">
        <v>427.71</v>
      </c>
      <c r="E121" s="160">
        <v>1.172E-2</v>
      </c>
      <c r="F121" s="160">
        <v>4.2500000000000003E-5</v>
      </c>
      <c r="G121" s="159">
        <v>0.36259999999999998</v>
      </c>
      <c r="H121" s="159">
        <v>0.89</v>
      </c>
      <c r="I121" s="159">
        <v>410</v>
      </c>
      <c r="J121" s="220">
        <v>2.2000000000000002</v>
      </c>
      <c r="K121" s="173"/>
      <c r="L121" s="174">
        <f t="shared" si="43"/>
        <v>1.2349541559077595</v>
      </c>
      <c r="M121" s="174">
        <f t="shared" si="44"/>
        <v>0.56134279813989063</v>
      </c>
      <c r="N121" s="174">
        <f t="shared" si="45"/>
        <v>0.25932304894442754</v>
      </c>
      <c r="O121" s="174">
        <f t="shared" si="26"/>
        <v>329.08094911047857</v>
      </c>
      <c r="P121" s="174">
        <f t="shared" si="27"/>
        <v>1.0885794776233897</v>
      </c>
      <c r="Q121" s="175">
        <f t="shared" si="28"/>
        <v>1.0885794776233897</v>
      </c>
      <c r="R121" s="176">
        <f t="shared" si="29"/>
        <v>1.7805562414037912</v>
      </c>
      <c r="S121" s="177">
        <f t="shared" si="30"/>
        <v>4.1977737114168754</v>
      </c>
      <c r="T121" s="177">
        <f t="shared" si="31"/>
        <v>6.8661703950016468</v>
      </c>
      <c r="U121" s="167"/>
      <c r="V121" s="178">
        <f t="shared" si="46"/>
        <v>1.1584232791681493E-2</v>
      </c>
      <c r="W121" s="179">
        <f t="shared" si="47"/>
        <v>4.1521043476805385E-5</v>
      </c>
      <c r="X121" s="180">
        <f t="shared" si="32"/>
        <v>1.1759825116870451E-2</v>
      </c>
      <c r="Y121" s="180">
        <f t="shared" si="33"/>
        <v>6.3330899517261856E-5</v>
      </c>
      <c r="Z121" s="181">
        <f t="shared" si="34"/>
        <v>1.0440821931766395</v>
      </c>
      <c r="AA121" s="181">
        <f t="shared" si="35"/>
        <v>9.0515192130293139E-4</v>
      </c>
      <c r="AB121" s="181">
        <f t="shared" si="36"/>
        <v>-4.5040949523702883E-2</v>
      </c>
      <c r="AC121" s="181">
        <f t="shared" si="48"/>
        <v>1.1623139034515478E-2</v>
      </c>
      <c r="AD121" s="181">
        <f t="shared" si="49"/>
        <v>6.1867247654117261E-5</v>
      </c>
      <c r="AE121" s="267"/>
      <c r="AF121" s="222">
        <f t="shared" si="37"/>
        <v>3.3079383068690903E-3</v>
      </c>
      <c r="AG121" s="182">
        <f t="shared" si="38"/>
        <v>5.3787751291013708E-3</v>
      </c>
      <c r="AH121" s="149">
        <f t="shared" si="39"/>
        <v>-5.1923627720881109</v>
      </c>
      <c r="AI121" s="149">
        <f t="shared" si="40"/>
        <v>5.2029761097805736</v>
      </c>
      <c r="AJ121" s="149">
        <f t="shared" si="41"/>
        <v>-1.1238538032460997E-2</v>
      </c>
      <c r="AK121" s="149">
        <f t="shared" si="42"/>
        <v>-2.8096345081152492E-3</v>
      </c>
      <c r="AL121" s="148">
        <f t="shared" si="50"/>
        <v>0.24183601875915334</v>
      </c>
    </row>
    <row r="122" spans="1:38" ht="21" customHeight="1" x14ac:dyDescent="0.3">
      <c r="A122" s="172"/>
      <c r="B122" s="159">
        <v>21</v>
      </c>
      <c r="C122" s="159">
        <v>133.6</v>
      </c>
      <c r="D122" s="159">
        <v>391.35</v>
      </c>
      <c r="E122" s="160">
        <v>5.4890000000000001E-2</v>
      </c>
      <c r="F122" s="160">
        <v>1.037E-4</v>
      </c>
      <c r="G122" s="159">
        <v>0.1888</v>
      </c>
      <c r="H122" s="159">
        <v>0.78</v>
      </c>
      <c r="I122" s="159">
        <v>315</v>
      </c>
      <c r="J122" s="220">
        <v>1.29</v>
      </c>
      <c r="K122" s="173"/>
      <c r="L122" s="174">
        <f t="shared" si="43"/>
        <v>0.86242309223193758</v>
      </c>
      <c r="M122" s="174">
        <f t="shared" si="44"/>
        <v>0.66854503273793608</v>
      </c>
      <c r="N122" s="174">
        <f t="shared" si="45"/>
        <v>0.22451353216209433</v>
      </c>
      <c r="O122" s="174">
        <f t="shared" si="26"/>
        <v>284.90767231369767</v>
      </c>
      <c r="P122" s="174">
        <f t="shared" si="27"/>
        <v>83.539060953341746</v>
      </c>
      <c r="Q122" s="175">
        <f t="shared" si="28"/>
        <v>83.539060953341746</v>
      </c>
      <c r="R122" s="176">
        <f t="shared" si="29"/>
        <v>15.379644658360039</v>
      </c>
      <c r="S122" s="177">
        <f t="shared" si="30"/>
        <v>372.08920170133979</v>
      </c>
      <c r="T122" s="177">
        <f t="shared" si="31"/>
        <v>68.502083194059935</v>
      </c>
      <c r="U122" s="167"/>
      <c r="V122" s="178">
        <f t="shared" si="46"/>
        <v>5.2033861350472554E-2</v>
      </c>
      <c r="W122" s="179">
        <f t="shared" si="47"/>
        <v>9.3188947262706049E-5</v>
      </c>
      <c r="X122" s="180">
        <f t="shared" si="32"/>
        <v>5.6917715437519202E-2</v>
      </c>
      <c r="Y122" s="180">
        <f t="shared" si="33"/>
        <v>2.1985958377161697E-4</v>
      </c>
      <c r="Z122" s="181">
        <f t="shared" si="34"/>
        <v>1.0480174226863808</v>
      </c>
      <c r="AA122" s="181">
        <f t="shared" si="35"/>
        <v>4.6173025532610157E-2</v>
      </c>
      <c r="AB122" s="181">
        <f t="shared" si="36"/>
        <v>-4.9151302517049265E-2</v>
      </c>
      <c r="AC122" s="181">
        <f t="shared" si="48"/>
        <v>5.3852551249893355E-2</v>
      </c>
      <c r="AD122" s="181">
        <f t="shared" si="49"/>
        <v>1.9681719894596E-4</v>
      </c>
      <c r="AE122" s="267"/>
      <c r="AF122" s="182">
        <f t="shared" si="37"/>
        <v>0.29321450094668228</v>
      </c>
      <c r="AG122" s="182">
        <f t="shared" si="38"/>
        <v>1.4426870514872797E-2</v>
      </c>
      <c r="AH122" s="149">
        <f t="shared" si="39"/>
        <v>-6.6926997930183569</v>
      </c>
      <c r="AI122" s="149">
        <f t="shared" si="40"/>
        <v>7.9213093237031398</v>
      </c>
      <c r="AJ122" s="149">
        <f t="shared" si="41"/>
        <v>-1.2840270713637052</v>
      </c>
      <c r="AK122" s="149">
        <f t="shared" si="42"/>
        <v>-0.3210067678409263</v>
      </c>
      <c r="AL122" s="148">
        <f t="shared" si="50"/>
        <v>4.8070543880659844E-2</v>
      </c>
    </row>
    <row r="123" spans="1:38" ht="21" customHeight="1" x14ac:dyDescent="0.3">
      <c r="A123" s="172"/>
      <c r="B123" s="159">
        <v>43</v>
      </c>
      <c r="C123" s="159">
        <v>369.65</v>
      </c>
      <c r="D123" s="159">
        <v>363.19</v>
      </c>
      <c r="E123" s="160">
        <v>1.418E-2</v>
      </c>
      <c r="F123" s="160">
        <v>6.2470000000000003E-5</v>
      </c>
      <c r="G123" s="159">
        <v>0.4405</v>
      </c>
      <c r="H123" s="159">
        <v>0.67</v>
      </c>
      <c r="I123" s="159">
        <v>232</v>
      </c>
      <c r="J123" s="220">
        <v>1.27</v>
      </c>
      <c r="K123" s="173"/>
      <c r="L123" s="174">
        <f t="shared" si="43"/>
        <v>0.73552862832264532</v>
      </c>
      <c r="M123" s="174">
        <f t="shared" si="44"/>
        <v>0.57915640025405146</v>
      </c>
      <c r="N123" s="174">
        <f t="shared" si="45"/>
        <v>0.14290996959591393</v>
      </c>
      <c r="O123" s="174">
        <f t="shared" si="26"/>
        <v>181.35275141721476</v>
      </c>
      <c r="P123" s="174">
        <f t="shared" si="27"/>
        <v>3.0500967282305211</v>
      </c>
      <c r="Q123" s="175">
        <f t="shared" si="28"/>
        <v>3.0500967282305211</v>
      </c>
      <c r="R123" s="176">
        <f t="shared" si="29"/>
        <v>1.132510113435053</v>
      </c>
      <c r="S123" s="177">
        <f t="shared" si="30"/>
        <v>21.342784809589165</v>
      </c>
      <c r="T123" s="177">
        <f t="shared" si="31"/>
        <v>7.9246403637009371</v>
      </c>
      <c r="U123" s="167"/>
      <c r="V123" s="178">
        <f t="shared" si="46"/>
        <v>1.39817389418052E-2</v>
      </c>
      <c r="W123" s="179">
        <f t="shared" si="47"/>
        <v>6.0735333735929931E-5</v>
      </c>
      <c r="X123" s="180">
        <f t="shared" si="32"/>
        <v>1.4328542385863554E-2</v>
      </c>
      <c r="Y123" s="180">
        <f t="shared" si="33"/>
        <v>8.0546533972245121E-5</v>
      </c>
      <c r="Z123" s="181">
        <f t="shared" si="34"/>
        <v>1.0443058423704838</v>
      </c>
      <c r="AA123" s="181">
        <f t="shared" si="35"/>
        <v>3.376457777252582E-3</v>
      </c>
      <c r="AB123" s="181">
        <f t="shared" si="36"/>
        <v>-4.5269945243539757E-2</v>
      </c>
      <c r="AC123" s="181">
        <f t="shared" si="48"/>
        <v>1.4126135455244633E-2</v>
      </c>
      <c r="AD123" s="181">
        <f t="shared" si="49"/>
        <v>7.8286984349391049E-5</v>
      </c>
      <c r="AE123" s="267"/>
      <c r="AF123" s="182">
        <f t="shared" si="37"/>
        <v>1.6818585350346072E-2</v>
      </c>
      <c r="AG123" s="182">
        <f t="shared" si="38"/>
        <v>5.4858900725604882E-3</v>
      </c>
      <c r="AH123" s="149">
        <f t="shared" si="39"/>
        <v>-5.2622836588437343</v>
      </c>
      <c r="AI123" s="149">
        <f t="shared" si="40"/>
        <v>5.3170146187239551</v>
      </c>
      <c r="AJ123" s="149">
        <f t="shared" si="41"/>
        <v>-5.7909672511434328E-2</v>
      </c>
      <c r="AK123" s="149">
        <f t="shared" si="42"/>
        <v>-1.4477418127858582E-2</v>
      </c>
      <c r="AL123" s="148">
        <f t="shared" si="50"/>
        <v>0.22832537171567635</v>
      </c>
    </row>
    <row r="124" spans="1:38" ht="21" customHeight="1" x14ac:dyDescent="0.3">
      <c r="A124" s="172"/>
      <c r="B124" s="159">
        <v>8</v>
      </c>
      <c r="C124" s="159">
        <v>84.55</v>
      </c>
      <c r="D124" s="159">
        <v>177.34</v>
      </c>
      <c r="E124" s="160">
        <v>4.8280000000000003E-2</v>
      </c>
      <c r="F124" s="160">
        <v>9.8830000000000001E-5</v>
      </c>
      <c r="G124" s="159">
        <v>0.20469999999999999</v>
      </c>
      <c r="H124" s="159">
        <v>0.82</v>
      </c>
      <c r="I124" s="159">
        <v>343</v>
      </c>
      <c r="J124" s="220">
        <v>1.81</v>
      </c>
      <c r="K124" s="173"/>
      <c r="L124" s="174">
        <f t="shared" si="43"/>
        <v>1.0366952906706033</v>
      </c>
      <c r="M124" s="174">
        <f t="shared" si="44"/>
        <v>0.57275982909978074</v>
      </c>
      <c r="N124" s="174">
        <f t="shared" si="45"/>
        <v>0.21791644498450327</v>
      </c>
      <c r="O124" s="174">
        <f t="shared" si="26"/>
        <v>276.53596868533464</v>
      </c>
      <c r="P124" s="174">
        <f t="shared" si="27"/>
        <v>66.439364322008473</v>
      </c>
      <c r="Q124" s="175">
        <f t="shared" si="28"/>
        <v>66.439364322008473</v>
      </c>
      <c r="R124" s="176">
        <f t="shared" si="29"/>
        <v>12.24225722654292</v>
      </c>
      <c r="S124" s="177">
        <f t="shared" si="30"/>
        <v>304.88458237620932</v>
      </c>
      <c r="T124" s="177">
        <f t="shared" si="31"/>
        <v>56.178675397414395</v>
      </c>
      <c r="U124" s="167"/>
      <c r="V124" s="178">
        <f t="shared" si="46"/>
        <v>4.6056397145800738E-2</v>
      </c>
      <c r="W124" s="179">
        <f t="shared" si="47"/>
        <v>8.9936129917656061E-5</v>
      </c>
      <c r="X124" s="180">
        <f t="shared" si="32"/>
        <v>4.9992316735010013E-2</v>
      </c>
      <c r="Y124" s="180">
        <f t="shared" si="33"/>
        <v>1.9333792970299755E-4</v>
      </c>
      <c r="Z124" s="181">
        <f t="shared" si="34"/>
        <v>1.0474134366774002</v>
      </c>
      <c r="AA124" s="181">
        <f t="shared" si="35"/>
        <v>3.8979857384938935E-2</v>
      </c>
      <c r="AB124" s="181">
        <f t="shared" si="36"/>
        <v>-4.8509290068912359E-2</v>
      </c>
      <c r="AC124" s="181">
        <f t="shared" si="48"/>
        <v>4.7612078620215978E-2</v>
      </c>
      <c r="AD124" s="181">
        <f t="shared" si="49"/>
        <v>1.7536576797654683E-4</v>
      </c>
      <c r="AE124" s="267"/>
      <c r="AF124" s="182">
        <f t="shared" si="37"/>
        <v>0.24025577807423903</v>
      </c>
      <c r="AG124" s="182">
        <f t="shared" si="38"/>
        <v>1.19649746444534E-2</v>
      </c>
      <c r="AH124" s="149">
        <f t="shared" si="39"/>
        <v>-6.4186255127288492</v>
      </c>
      <c r="AI124" s="149">
        <f t="shared" si="40"/>
        <v>7.3822452916372114</v>
      </c>
      <c r="AJ124" s="149">
        <f t="shared" si="41"/>
        <v>-1.0090281209643919</v>
      </c>
      <c r="AK124" s="149">
        <f t="shared" si="42"/>
        <v>-0.25225703024109797</v>
      </c>
      <c r="AL124" s="148">
        <f t="shared" si="50"/>
        <v>4.8881789917833984E-3</v>
      </c>
    </row>
    <row r="125" spans="1:38" ht="21" customHeight="1" x14ac:dyDescent="0.3">
      <c r="A125" s="172"/>
      <c r="B125" s="159">
        <v>9</v>
      </c>
      <c r="C125" s="159">
        <v>85.61</v>
      </c>
      <c r="D125" s="159">
        <v>428.39</v>
      </c>
      <c r="E125" s="160">
        <v>1.14E-2</v>
      </c>
      <c r="F125" s="160">
        <v>3.455E-5</v>
      </c>
      <c r="G125" s="159">
        <v>0.30309999999999998</v>
      </c>
      <c r="H125" s="159">
        <v>1.01</v>
      </c>
      <c r="I125" s="159">
        <v>522</v>
      </c>
      <c r="J125" s="220">
        <v>1.52</v>
      </c>
      <c r="K125" s="173"/>
      <c r="L125" s="174">
        <f t="shared" si="43"/>
        <v>1.1873188847252834</v>
      </c>
      <c r="M125" s="174">
        <f t="shared" si="44"/>
        <v>0.78113084521400222</v>
      </c>
      <c r="N125" s="174">
        <f t="shared" si="45"/>
        <v>0.44421169388688475</v>
      </c>
      <c r="O125" s="174">
        <f t="shared" si="26"/>
        <v>563.70463954245679</v>
      </c>
      <c r="P125" s="174">
        <f t="shared" si="27"/>
        <v>0.88617175383047186</v>
      </c>
      <c r="Q125" s="175">
        <f t="shared" si="28"/>
        <v>0.88617175383047186</v>
      </c>
      <c r="R125" s="176">
        <f t="shared" si="29"/>
        <v>3.0294179881523604</v>
      </c>
      <c r="S125" s="177">
        <f t="shared" si="30"/>
        <v>1.9949311691378593</v>
      </c>
      <c r="T125" s="177">
        <f t="shared" si="31"/>
        <v>6.8197619059613928</v>
      </c>
      <c r="U125" s="167"/>
      <c r="V125" s="178">
        <f t="shared" si="46"/>
        <v>1.1271504844769626E-2</v>
      </c>
      <c r="W125" s="179">
        <f t="shared" si="47"/>
        <v>3.3775528482908051E-5</v>
      </c>
      <c r="X125" s="180">
        <f t="shared" si="32"/>
        <v>1.1425723469053902E-2</v>
      </c>
      <c r="Y125" s="180">
        <f t="shared" si="33"/>
        <v>5.7729276495502745E-5</v>
      </c>
      <c r="Z125" s="181">
        <f t="shared" si="34"/>
        <v>1.0440531058793847</v>
      </c>
      <c r="AA125" s="181">
        <f t="shared" si="35"/>
        <v>5.8463916573732835E-4</v>
      </c>
      <c r="AB125" s="181">
        <f t="shared" si="36"/>
        <v>-4.5011207740175571E-2</v>
      </c>
      <c r="AC125" s="181">
        <f t="shared" si="48"/>
        <v>1.1296651057939491E-2</v>
      </c>
      <c r="AD125" s="181">
        <f t="shared" si="49"/>
        <v>5.6432348593368666E-5</v>
      </c>
      <c r="AE125" s="267"/>
      <c r="AF125" s="182">
        <f t="shared" si="37"/>
        <v>1.572049778674436E-3</v>
      </c>
      <c r="AG125" s="182">
        <f t="shared" si="38"/>
        <v>5.3668815437039608E-3</v>
      </c>
      <c r="AH125" s="149">
        <f t="shared" si="39"/>
        <v>-5.1833791264633158</v>
      </c>
      <c r="AI125" s="149">
        <f t="shared" si="40"/>
        <v>5.1884137207814751</v>
      </c>
      <c r="AJ125" s="149">
        <f t="shared" si="41"/>
        <v>-5.3317117263274229E-3</v>
      </c>
      <c r="AK125" s="149">
        <f t="shared" si="42"/>
        <v>-1.3329279315818557E-3</v>
      </c>
      <c r="AL125" s="148">
        <f t="shared" si="50"/>
        <v>0.24357190728734801</v>
      </c>
    </row>
    <row r="126" spans="1:38" ht="21" customHeight="1" x14ac:dyDescent="0.3">
      <c r="A126" s="172"/>
      <c r="B126" s="159">
        <v>10</v>
      </c>
      <c r="C126" s="159">
        <v>96.01</v>
      </c>
      <c r="D126" s="159">
        <v>444.48</v>
      </c>
      <c r="E126" s="160">
        <v>1.159E-2</v>
      </c>
      <c r="F126" s="160">
        <v>5.9710000000000003E-5</v>
      </c>
      <c r="G126" s="159">
        <v>0.51529999999999998</v>
      </c>
      <c r="H126" s="159">
        <v>0.61</v>
      </c>
      <c r="I126" s="159">
        <v>194</v>
      </c>
      <c r="J126" s="220">
        <v>1.22</v>
      </c>
      <c r="K126" s="173"/>
      <c r="L126" s="174">
        <f t="shared" si="43"/>
        <v>0.66199039250885794</v>
      </c>
      <c r="M126" s="174">
        <f t="shared" si="44"/>
        <v>0.5426150758269328</v>
      </c>
      <c r="N126" s="174">
        <f t="shared" si="45"/>
        <v>0.11125661207595808</v>
      </c>
      <c r="O126" s="174">
        <f t="shared" si="26"/>
        <v>141.18464072439079</v>
      </c>
      <c r="P126" s="174">
        <f t="shared" si="27"/>
        <v>0.36738232770557394</v>
      </c>
      <c r="Q126" s="175">
        <f t="shared" si="28"/>
        <v>0.36738232770557394</v>
      </c>
      <c r="R126" s="176">
        <f t="shared" si="29"/>
        <v>0.76227444083203066</v>
      </c>
      <c r="S126" s="177">
        <f t="shared" si="30"/>
        <v>3.3021167987278948</v>
      </c>
      <c r="T126" s="177">
        <f t="shared" si="31"/>
        <v>6.851497871529685</v>
      </c>
      <c r="U126" s="167"/>
      <c r="V126" s="178">
        <f t="shared" si="46"/>
        <v>1.1457210925374904E-2</v>
      </c>
      <c r="W126" s="179">
        <f t="shared" si="47"/>
        <v>5.8349617864595214E-5</v>
      </c>
      <c r="X126" s="180">
        <f t="shared" si="32"/>
        <v>1.1624095199855633E-2</v>
      </c>
      <c r="Y126" s="180">
        <f t="shared" si="33"/>
        <v>7.696533047338014E-5</v>
      </c>
      <c r="Z126" s="181">
        <f t="shared" si="34"/>
        <v>1.0440703763155288</v>
      </c>
      <c r="AA126" s="181">
        <f t="shared" si="35"/>
        <v>7.7491702316994922E-4</v>
      </c>
      <c r="AB126" s="181">
        <f t="shared" si="36"/>
        <v>-4.502886563951277E-2</v>
      </c>
      <c r="AC126" s="181">
        <f t="shared" si="48"/>
        <v>1.1490528206091401E-2</v>
      </c>
      <c r="AD126" s="181">
        <f t="shared" si="49"/>
        <v>7.520674777685492E-5</v>
      </c>
      <c r="AE126" s="267"/>
      <c r="AF126" s="182">
        <f t="shared" si="37"/>
        <v>2.6021408973427068E-3</v>
      </c>
      <c r="AG126" s="182">
        <f t="shared" si="38"/>
        <v>5.379360286726774E-3</v>
      </c>
      <c r="AH126" s="149">
        <f t="shared" si="39"/>
        <v>-5.1887100987124315</v>
      </c>
      <c r="AI126" s="149">
        <f t="shared" si="40"/>
        <v>5.1970527052052642</v>
      </c>
      <c r="AJ126" s="149">
        <f t="shared" si="41"/>
        <v>-8.8344111224290447E-3</v>
      </c>
      <c r="AK126" s="149">
        <f t="shared" si="42"/>
        <v>-2.2086027806072612E-3</v>
      </c>
      <c r="AL126" s="148">
        <f t="shared" si="50"/>
        <v>0.24254181616867973</v>
      </c>
    </row>
    <row r="127" spans="1:38" ht="21" customHeight="1" x14ac:dyDescent="0.3">
      <c r="A127" s="172"/>
      <c r="B127" s="159">
        <v>47</v>
      </c>
      <c r="C127" s="159">
        <v>398.64</v>
      </c>
      <c r="D127" s="159">
        <v>348.66</v>
      </c>
      <c r="E127" s="160">
        <v>7.6700000000000004E-2</v>
      </c>
      <c r="F127" s="160">
        <v>1.077E-4</v>
      </c>
      <c r="G127" s="159">
        <v>0.1404</v>
      </c>
      <c r="H127" s="159">
        <v>0.93</v>
      </c>
      <c r="I127" s="159">
        <v>441</v>
      </c>
      <c r="J127" s="220">
        <v>1.92</v>
      </c>
      <c r="K127" s="173"/>
      <c r="L127" s="174">
        <f t="shared" si="43"/>
        <v>1.2060565250694213</v>
      </c>
      <c r="M127" s="174">
        <f t="shared" si="44"/>
        <v>0.62815444014032362</v>
      </c>
      <c r="N127" s="174">
        <f t="shared" si="45"/>
        <v>0.3088693977082892</v>
      </c>
      <c r="O127" s="174">
        <f t="shared" si="26"/>
        <v>391.95526569181897</v>
      </c>
      <c r="P127" s="174">
        <f t="shared" si="27"/>
        <v>195.51034946518547</v>
      </c>
      <c r="Q127" s="175">
        <f t="shared" si="28"/>
        <v>195.51034946518547</v>
      </c>
      <c r="R127" s="176">
        <f t="shared" si="29"/>
        <v>36.170529544306653</v>
      </c>
      <c r="S127" s="177">
        <f t="shared" si="30"/>
        <v>632.98711661242226</v>
      </c>
      <c r="T127" s="177">
        <f t="shared" si="31"/>
        <v>117.106226167695</v>
      </c>
      <c r="U127" s="167"/>
      <c r="V127" s="178">
        <f t="shared" si="46"/>
        <v>7.1236184638246505E-2</v>
      </c>
      <c r="W127" s="179">
        <f t="shared" si="47"/>
        <v>9.2902259602917111E-5</v>
      </c>
      <c r="X127" s="180">
        <f t="shared" si="32"/>
        <v>7.9796737877865717E-2</v>
      </c>
      <c r="Y127" s="180">
        <f t="shared" si="33"/>
        <v>3.0843387834445754E-4</v>
      </c>
      <c r="Z127" s="181">
        <f t="shared" si="34"/>
        <v>1.0500140124706527</v>
      </c>
      <c r="AA127" s="181">
        <f t="shared" si="35"/>
        <v>7.0582830082285011E-2</v>
      </c>
      <c r="AB127" s="181">
        <f t="shared" si="36"/>
        <v>-5.130228378579392E-2</v>
      </c>
      <c r="AC127" s="181">
        <f t="shared" si="48"/>
        <v>7.3899776762329339E-2</v>
      </c>
      <c r="AD127" s="181">
        <f t="shared" si="49"/>
        <v>2.6453190083740666E-4</v>
      </c>
      <c r="AE127" s="267"/>
      <c r="AF127" s="182">
        <f t="shared" si="37"/>
        <v>0.49880781450939499</v>
      </c>
      <c r="AG127" s="182">
        <f t="shared" si="38"/>
        <v>2.6180161125175249E-2</v>
      </c>
      <c r="AH127" s="149">
        <f t="shared" si="39"/>
        <v>-7.7566952292896474</v>
      </c>
      <c r="AI127" s="149">
        <f t="shared" si="40"/>
        <v>10.19403384445331</v>
      </c>
      <c r="AJ127" s="149">
        <f t="shared" si="41"/>
        <v>-2.5316132921059351</v>
      </c>
      <c r="AK127" s="149">
        <f t="shared" si="42"/>
        <v>-0.63290332302648378</v>
      </c>
      <c r="AL127" s="148">
        <f t="shared" si="50"/>
        <v>0.25366385744337255</v>
      </c>
    </row>
    <row r="128" spans="1:38" ht="21" customHeight="1" x14ac:dyDescent="0.3">
      <c r="A128" s="172"/>
      <c r="B128" s="159">
        <v>18</v>
      </c>
      <c r="C128" s="159">
        <v>121.96</v>
      </c>
      <c r="D128" s="159">
        <v>373.1</v>
      </c>
      <c r="E128" s="160">
        <v>6.1409999999999999E-2</v>
      </c>
      <c r="F128" s="160">
        <v>1.036E-4</v>
      </c>
      <c r="G128" s="159">
        <v>0.16869999999999999</v>
      </c>
      <c r="H128" s="159">
        <v>0.8</v>
      </c>
      <c r="I128" s="159">
        <v>328</v>
      </c>
      <c r="J128" s="220">
        <v>1.6</v>
      </c>
      <c r="K128" s="173"/>
      <c r="L128" s="174">
        <f t="shared" si="43"/>
        <v>0.96167789919085267</v>
      </c>
      <c r="M128" s="174">
        <f t="shared" si="44"/>
        <v>0.60104868699428293</v>
      </c>
      <c r="N128" s="174">
        <f t="shared" si="45"/>
        <v>0.21601364316993299</v>
      </c>
      <c r="O128" s="174">
        <f t="shared" si="26"/>
        <v>274.12131318264494</v>
      </c>
      <c r="P128" s="174">
        <f t="shared" si="27"/>
        <v>95.762562900576356</v>
      </c>
      <c r="Q128" s="175">
        <f t="shared" si="28"/>
        <v>95.762562900576356</v>
      </c>
      <c r="R128" s="176">
        <f t="shared" si="29"/>
        <v>17.63851246708256</v>
      </c>
      <c r="S128" s="177">
        <f t="shared" si="30"/>
        <v>443.31719744776558</v>
      </c>
      <c r="T128" s="177">
        <f t="shared" si="31"/>
        <v>81.654622403672661</v>
      </c>
      <c r="U128" s="167"/>
      <c r="V128" s="178">
        <f t="shared" si="46"/>
        <v>5.7857001535693092E-2</v>
      </c>
      <c r="W128" s="179">
        <f t="shared" si="47"/>
        <v>9.1958823301930634E-5</v>
      </c>
      <c r="X128" s="180">
        <f t="shared" si="32"/>
        <v>6.3752732611071339E-2</v>
      </c>
      <c r="Y128" s="180">
        <f t="shared" si="33"/>
        <v>2.4462197637342551E-4</v>
      </c>
      <c r="Z128" s="181">
        <f t="shared" si="34"/>
        <v>1.0486136969346784</v>
      </c>
      <c r="AA128" s="181">
        <f t="shared" si="35"/>
        <v>5.3361442386761125E-2</v>
      </c>
      <c r="AB128" s="181">
        <f t="shared" si="36"/>
        <v>-4.9789074550050931E-2</v>
      </c>
      <c r="AC128" s="181">
        <f t="shared" si="48"/>
        <v>5.9931909603263576E-2</v>
      </c>
      <c r="AD128" s="181">
        <f t="shared" si="49"/>
        <v>2.1617929350365299E-4</v>
      </c>
      <c r="AE128" s="267"/>
      <c r="AF128" s="182">
        <f t="shared" si="37"/>
        <v>0.34934373321336926</v>
      </c>
      <c r="AG128" s="182">
        <f t="shared" si="38"/>
        <v>1.7304309100213529E-2</v>
      </c>
      <c r="AH128" s="149">
        <f t="shared" si="39"/>
        <v>-6.9831822310814484</v>
      </c>
      <c r="AI128" s="149">
        <f t="shared" si="40"/>
        <v>8.5133798495001347</v>
      </c>
      <c r="AJ128" s="149">
        <f t="shared" si="41"/>
        <v>-1.5962235839960137</v>
      </c>
      <c r="AK128" s="149">
        <f t="shared" si="42"/>
        <v>-0.39905589599900343</v>
      </c>
      <c r="AL128" s="148">
        <f t="shared" si="50"/>
        <v>0.10419977614734682</v>
      </c>
    </row>
    <row r="129" spans="1:38" ht="21" customHeight="1" x14ac:dyDescent="0.3">
      <c r="A129" s="172"/>
      <c r="B129" s="159">
        <v>28</v>
      </c>
      <c r="C129" s="159">
        <v>168.95</v>
      </c>
      <c r="D129" s="159">
        <v>358.33</v>
      </c>
      <c r="E129" s="160">
        <v>1.204E-2</v>
      </c>
      <c r="F129" s="160">
        <v>5.5500000000000001E-5</v>
      </c>
      <c r="G129" s="159">
        <v>0.46089999999999998</v>
      </c>
      <c r="H129" s="159">
        <v>0.64</v>
      </c>
      <c r="I129" s="159">
        <v>210</v>
      </c>
      <c r="J129" s="220">
        <v>1.22</v>
      </c>
      <c r="K129" s="173"/>
      <c r="L129" s="174">
        <f t="shared" si="43"/>
        <v>0.68874818746387778</v>
      </c>
      <c r="M129" s="174">
        <f t="shared" si="44"/>
        <v>0.56454769464252275</v>
      </c>
      <c r="N129" s="174">
        <f t="shared" si="45"/>
        <v>0.12530031942143458</v>
      </c>
      <c r="O129" s="174">
        <f t="shared" si="26"/>
        <v>159.00610534580048</v>
      </c>
      <c r="P129" s="174">
        <f t="shared" si="27"/>
        <v>0.80278222793103271</v>
      </c>
      <c r="Q129" s="175">
        <f t="shared" si="28"/>
        <v>0.80278222793103271</v>
      </c>
      <c r="R129" s="176">
        <f t="shared" si="29"/>
        <v>0.86929117860900784</v>
      </c>
      <c r="S129" s="177">
        <f t="shared" si="30"/>
        <v>6.4068649755868403</v>
      </c>
      <c r="T129" s="177">
        <f t="shared" si="31"/>
        <v>6.9376613134180252</v>
      </c>
      <c r="U129" s="167"/>
      <c r="V129" s="178">
        <f t="shared" si="46"/>
        <v>1.1896762973795503E-2</v>
      </c>
      <c r="W129" s="179">
        <f t="shared" si="47"/>
        <v>5.4187314389702329E-5</v>
      </c>
      <c r="X129" s="180">
        <f t="shared" si="32"/>
        <v>1.2093936072816613E-2</v>
      </c>
      <c r="Y129" s="180">
        <f t="shared" si="33"/>
        <v>7.3575838448282631E-5</v>
      </c>
      <c r="Z129" s="181">
        <f t="shared" si="34"/>
        <v>1.0441112816894687</v>
      </c>
      <c r="AA129" s="181">
        <f t="shared" si="35"/>
        <v>1.2258851660838759E-3</v>
      </c>
      <c r="AB129" s="181">
        <f t="shared" si="36"/>
        <v>-4.5070701959156141E-2</v>
      </c>
      <c r="AC129" s="181">
        <f t="shared" si="48"/>
        <v>1.1949420544642503E-2</v>
      </c>
      <c r="AD129" s="181">
        <f t="shared" si="49"/>
        <v>7.1827966971940387E-5</v>
      </c>
      <c r="AE129" s="267"/>
      <c r="AF129" s="182">
        <f t="shared" si="37"/>
        <v>5.0487509657894721E-3</v>
      </c>
      <c r="AG129" s="182">
        <f t="shared" si="38"/>
        <v>5.3931615574584297E-3</v>
      </c>
      <c r="AH129" s="149">
        <f t="shared" si="39"/>
        <v>-5.2013719012878772</v>
      </c>
      <c r="AI129" s="149">
        <f t="shared" si="40"/>
        <v>5.2176003018809851</v>
      </c>
      <c r="AJ129" s="149">
        <f t="shared" si="41"/>
        <v>-1.7182614525643285E-2</v>
      </c>
      <c r="AK129" s="149">
        <f t="shared" si="42"/>
        <v>-4.2956536314108212E-3</v>
      </c>
      <c r="AL129" s="148">
        <f t="shared" si="50"/>
        <v>0.24009520610023297</v>
      </c>
    </row>
    <row r="130" spans="1:38" ht="21" customHeight="1" x14ac:dyDescent="0.3">
      <c r="A130" s="172"/>
      <c r="B130" s="159">
        <v>50</v>
      </c>
      <c r="C130" s="159">
        <v>424.73</v>
      </c>
      <c r="D130" s="159">
        <v>350.82</v>
      </c>
      <c r="E130" s="160">
        <v>7.7160000000000006E-2</v>
      </c>
      <c r="F130" s="160">
        <v>1.3439999999999999E-4</v>
      </c>
      <c r="G130" s="159">
        <v>0.1741</v>
      </c>
      <c r="H130" s="159">
        <v>0.73</v>
      </c>
      <c r="I130" s="159">
        <v>277</v>
      </c>
      <c r="J130" s="220">
        <v>1.22</v>
      </c>
      <c r="K130" s="173"/>
      <c r="L130" s="174">
        <f t="shared" si="43"/>
        <v>0.79102590472461531</v>
      </c>
      <c r="M130" s="174">
        <f t="shared" si="44"/>
        <v>0.64838188911853711</v>
      </c>
      <c r="N130" s="174">
        <f t="shared" si="45"/>
        <v>0.18982040235324366</v>
      </c>
      <c r="O130" s="174">
        <f t="shared" si="26"/>
        <v>240.8820905862662</v>
      </c>
      <c r="P130" s="174">
        <f t="shared" si="27"/>
        <v>121.34331989056334</v>
      </c>
      <c r="Q130" s="175">
        <f t="shared" si="28"/>
        <v>121.34331989056334</v>
      </c>
      <c r="R130" s="176">
        <f t="shared" si="29"/>
        <v>22.454440521355679</v>
      </c>
      <c r="S130" s="177">
        <f t="shared" si="30"/>
        <v>639.25330673755059</v>
      </c>
      <c r="T130" s="177">
        <f t="shared" si="31"/>
        <v>118.29308252950281</v>
      </c>
      <c r="U130" s="167"/>
      <c r="V130" s="178">
        <f t="shared" si="46"/>
        <v>7.1632812209885252E-2</v>
      </c>
      <c r="W130" s="179">
        <f t="shared" si="47"/>
        <v>1.1583474139309979E-4</v>
      </c>
      <c r="X130" s="180">
        <f t="shared" si="32"/>
        <v>8.0279754023060146E-2</v>
      </c>
      <c r="Y130" s="180">
        <f t="shared" si="33"/>
        <v>3.2164753149647155E-4</v>
      </c>
      <c r="Z130" s="181">
        <f t="shared" si="34"/>
        <v>1.050056184450229</v>
      </c>
      <c r="AA130" s="181">
        <f t="shared" si="35"/>
        <v>7.1108856720953517E-2</v>
      </c>
      <c r="AB130" s="181">
        <f t="shared" si="36"/>
        <v>-5.1348191265893434E-2</v>
      </c>
      <c r="AC130" s="181">
        <f t="shared" si="48"/>
        <v>7.43138559471202E-2</v>
      </c>
      <c r="AD130" s="181">
        <f t="shared" si="49"/>
        <v>2.7561810916687805E-4</v>
      </c>
      <c r="AE130" s="267"/>
      <c r="AF130" s="182">
        <f t="shared" si="37"/>
        <v>0.50374571058908635</v>
      </c>
      <c r="AG130" s="182">
        <f t="shared" si="38"/>
        <v>2.6515823362752718E-2</v>
      </c>
      <c r="AH130" s="149">
        <f t="shared" si="39"/>
        <v>-7.7822500433180295</v>
      </c>
      <c r="AI130" s="149">
        <f t="shared" si="40"/>
        <v>10.252139929289884</v>
      </c>
      <c r="AJ130" s="149">
        <f t="shared" si="41"/>
        <v>-2.5650978252731926</v>
      </c>
      <c r="AK130" s="149">
        <f t="shared" si="42"/>
        <v>-0.64127445631829816</v>
      </c>
      <c r="AL130" s="148">
        <f t="shared" si="50"/>
        <v>0.25860175352306392</v>
      </c>
    </row>
    <row r="131" spans="1:38" ht="21" customHeight="1" x14ac:dyDescent="0.3">
      <c r="A131" s="172"/>
      <c r="B131" s="159">
        <v>58</v>
      </c>
      <c r="C131" s="159">
        <v>501.5</v>
      </c>
      <c r="D131" s="159">
        <v>350.38</v>
      </c>
      <c r="E131" s="160">
        <v>4.7660000000000001E-2</v>
      </c>
      <c r="F131" s="160">
        <v>8.844E-5</v>
      </c>
      <c r="G131" s="159">
        <v>0.1855</v>
      </c>
      <c r="H131" s="159">
        <v>0.87</v>
      </c>
      <c r="I131" s="159">
        <v>385</v>
      </c>
      <c r="J131" s="220">
        <v>1.38</v>
      </c>
      <c r="K131" s="173"/>
      <c r="L131" s="174">
        <f t="shared" si="43"/>
        <v>0.97978846264196484</v>
      </c>
      <c r="M131" s="174">
        <f t="shared" si="44"/>
        <v>0.70999163959562672</v>
      </c>
      <c r="N131" s="174">
        <f t="shared" si="45"/>
        <v>0.29421037193780025</v>
      </c>
      <c r="O131" s="174">
        <f t="shared" si="26"/>
        <v>373.35296198906855</v>
      </c>
      <c r="P131" s="174">
        <f t="shared" si="27"/>
        <v>87.916191823124962</v>
      </c>
      <c r="Q131" s="175">
        <f t="shared" si="28"/>
        <v>87.916191823124962</v>
      </c>
      <c r="R131" s="176">
        <f t="shared" si="29"/>
        <v>16.202083955043847</v>
      </c>
      <c r="S131" s="177">
        <f t="shared" si="30"/>
        <v>298.82084456802068</v>
      </c>
      <c r="T131" s="177">
        <f t="shared" si="31"/>
        <v>55.069723913299597</v>
      </c>
      <c r="U131" s="167"/>
      <c r="V131" s="178">
        <f t="shared" si="46"/>
        <v>4.549185804554913E-2</v>
      </c>
      <c r="W131" s="179">
        <f t="shared" si="47"/>
        <v>8.0576427537990981E-5</v>
      </c>
      <c r="X131" s="180">
        <f t="shared" si="32"/>
        <v>4.9342937958399072E-2</v>
      </c>
      <c r="Y131" s="180">
        <f t="shared" si="33"/>
        <v>1.8549895385348782E-4</v>
      </c>
      <c r="Z131" s="181">
        <f t="shared" si="34"/>
        <v>1.0473568112199938</v>
      </c>
      <c r="AA131" s="181">
        <f t="shared" si="35"/>
        <v>3.8310031656440258E-2</v>
      </c>
      <c r="AB131" s="181">
        <f t="shared" si="36"/>
        <v>-4.8449306463499243E-2</v>
      </c>
      <c r="AC131" s="181">
        <f t="shared" si="48"/>
        <v>4.7022699799553286E-2</v>
      </c>
      <c r="AD131" s="181">
        <f t="shared" si="49"/>
        <v>1.6846379371193929E-4</v>
      </c>
      <c r="AE131" s="267"/>
      <c r="AF131" s="182">
        <f t="shared" si="37"/>
        <v>0.23547741888732912</v>
      </c>
      <c r="AG131" s="182">
        <f t="shared" si="38"/>
        <v>1.1751375455456249E-2</v>
      </c>
      <c r="AH131" s="149">
        <f t="shared" si="39"/>
        <v>-6.3938963409496994</v>
      </c>
      <c r="AI131" s="149">
        <f t="shared" si="40"/>
        <v>7.3345408525028892</v>
      </c>
      <c r="AJ131" s="149">
        <f t="shared" si="41"/>
        <v>-0.9851497437228961</v>
      </c>
      <c r="AK131" s="149">
        <f t="shared" si="42"/>
        <v>-0.24628743593072402</v>
      </c>
      <c r="AL131" s="148">
        <f t="shared" si="50"/>
        <v>9.6665381786933124E-3</v>
      </c>
    </row>
    <row r="132" spans="1:38" ht="21" customHeight="1" x14ac:dyDescent="0.3">
      <c r="A132" s="172"/>
      <c r="B132" s="159">
        <v>52</v>
      </c>
      <c r="C132" s="159">
        <v>425.49</v>
      </c>
      <c r="D132" s="159">
        <v>371.99</v>
      </c>
      <c r="E132" s="160">
        <v>7.664E-2</v>
      </c>
      <c r="F132" s="160">
        <v>1.35E-4</v>
      </c>
      <c r="G132" s="159">
        <v>0.1762</v>
      </c>
      <c r="H132" s="159">
        <v>0.73</v>
      </c>
      <c r="I132" s="159">
        <v>277</v>
      </c>
      <c r="J132" s="220">
        <v>1.17</v>
      </c>
      <c r="K132" s="173"/>
      <c r="L132" s="174">
        <f t="shared" si="43"/>
        <v>0.77820421710290333</v>
      </c>
      <c r="M132" s="174">
        <f t="shared" si="44"/>
        <v>0.66513180948966089</v>
      </c>
      <c r="N132" s="174">
        <f t="shared" si="45"/>
        <v>0.19335949478325992</v>
      </c>
      <c r="O132" s="174">
        <f t="shared" si="26"/>
        <v>245.37319887995685</v>
      </c>
      <c r="P132" s="174">
        <f t="shared" si="27"/>
        <v>122.23654110145634</v>
      </c>
      <c r="Q132" s="175">
        <f t="shared" si="28"/>
        <v>122.23654110145634</v>
      </c>
      <c r="R132" s="176">
        <f t="shared" si="29"/>
        <v>22.614910861899954</v>
      </c>
      <c r="S132" s="177">
        <f t="shared" si="30"/>
        <v>632.17242700428778</v>
      </c>
      <c r="T132" s="177">
        <f t="shared" si="31"/>
        <v>116.95785038769058</v>
      </c>
      <c r="U132" s="167"/>
      <c r="V132" s="178">
        <f t="shared" si="46"/>
        <v>7.1184425620448799E-2</v>
      </c>
      <c r="W132" s="179">
        <f t="shared" si="47"/>
        <v>1.164642801133521E-4</v>
      </c>
      <c r="X132" s="180">
        <f t="shared" si="32"/>
        <v>7.9733737202132879E-2</v>
      </c>
      <c r="Y132" s="180">
        <f t="shared" si="33"/>
        <v>3.1981378069942769E-4</v>
      </c>
      <c r="Z132" s="181">
        <f t="shared" si="34"/>
        <v>1.050008511964964</v>
      </c>
      <c r="AA132" s="181">
        <f t="shared" si="35"/>
        <v>7.0514252066618849E-2</v>
      </c>
      <c r="AB132" s="181">
        <f t="shared" si="36"/>
        <v>-5.1296297503109309E-2</v>
      </c>
      <c r="AC132" s="181">
        <f t="shared" si="48"/>
        <v>7.3845740347748545E-2</v>
      </c>
      <c r="AD132" s="181">
        <f t="shared" si="49"/>
        <v>2.7432401626885166E-4</v>
      </c>
      <c r="AE132" s="267"/>
      <c r="AF132" s="182">
        <f t="shared" si="37"/>
        <v>0.49816582112237018</v>
      </c>
      <c r="AG132" s="182">
        <f t="shared" si="38"/>
        <v>2.6152982757331626E-2</v>
      </c>
      <c r="AH132" s="149">
        <f t="shared" si="39"/>
        <v>-7.7533727572594362</v>
      </c>
      <c r="AI132" s="149">
        <f t="shared" si="40"/>
        <v>10.186491396603884</v>
      </c>
      <c r="AJ132" s="149">
        <f t="shared" si="41"/>
        <v>-2.527271979536577</v>
      </c>
      <c r="AK132" s="149">
        <f t="shared" si="42"/>
        <v>-0.63181799488414425</v>
      </c>
      <c r="AL132" s="148">
        <f t="shared" si="50"/>
        <v>0.25302186405634775</v>
      </c>
    </row>
    <row r="133" spans="1:38" ht="21" customHeight="1" x14ac:dyDescent="0.3">
      <c r="A133" s="172"/>
      <c r="B133" s="159">
        <v>57</v>
      </c>
      <c r="C133" s="159">
        <v>483.8</v>
      </c>
      <c r="D133" s="159">
        <v>342.37</v>
      </c>
      <c r="E133" s="160">
        <v>4.4560000000000002E-2</v>
      </c>
      <c r="F133" s="160">
        <v>1.0849999999999999E-4</v>
      </c>
      <c r="G133" s="159">
        <v>0.24340000000000001</v>
      </c>
      <c r="H133" s="159">
        <v>0.7</v>
      </c>
      <c r="I133" s="159">
        <v>251</v>
      </c>
      <c r="J133" s="220">
        <v>1.19</v>
      </c>
      <c r="K133" s="173"/>
      <c r="L133" s="174">
        <f t="shared" si="43"/>
        <v>0.74568067838138297</v>
      </c>
      <c r="M133" s="174">
        <f t="shared" si="44"/>
        <v>0.62662241880788494</v>
      </c>
      <c r="N133" s="174">
        <f t="shared" si="45"/>
        <v>0.16554632187482207</v>
      </c>
      <c r="O133" s="174">
        <f t="shared" si="26"/>
        <v>210.07828245914922</v>
      </c>
      <c r="P133" s="174">
        <f t="shared" si="27"/>
        <v>44.546237675055039</v>
      </c>
      <c r="Q133" s="175">
        <f t="shared" si="28"/>
        <v>44.546237675055039</v>
      </c>
      <c r="R133" s="176">
        <f t="shared" si="29"/>
        <v>8.2203227831803698</v>
      </c>
      <c r="S133" s="177">
        <f t="shared" si="30"/>
        <v>269.08624227084124</v>
      </c>
      <c r="T133" s="177">
        <f t="shared" si="31"/>
        <v>49.655725902482885</v>
      </c>
      <c r="U133" s="167"/>
      <c r="V133" s="178">
        <f t="shared" si="46"/>
        <v>4.2659110055908715E-2</v>
      </c>
      <c r="W133" s="179">
        <f t="shared" si="47"/>
        <v>9.9440421382145509E-5</v>
      </c>
      <c r="X133" s="180">
        <f t="shared" si="32"/>
        <v>4.6096570613815058E-2</v>
      </c>
      <c r="Y133" s="180">
        <f t="shared" si="33"/>
        <v>1.8653509027781695E-4</v>
      </c>
      <c r="Z133" s="181">
        <f t="shared" si="34"/>
        <v>1.04707375280033</v>
      </c>
      <c r="AA133" s="181">
        <f t="shared" si="35"/>
        <v>3.4973430518328213E-2</v>
      </c>
      <c r="AB133" s="181">
        <f t="shared" si="36"/>
        <v>-4.8149993542199308E-2</v>
      </c>
      <c r="AC133" s="181">
        <f t="shared" si="48"/>
        <v>4.4065310898368695E-2</v>
      </c>
      <c r="AD133" s="181">
        <f t="shared" si="49"/>
        <v>1.7045784159930866E-4</v>
      </c>
      <c r="AE133" s="267"/>
      <c r="AF133" s="182">
        <f t="shared" si="37"/>
        <v>0.21204589619451633</v>
      </c>
      <c r="AG133" s="182">
        <f t="shared" si="38"/>
        <v>1.0771927646842804E-2</v>
      </c>
      <c r="AH133" s="149">
        <f t="shared" si="39"/>
        <v>-6.2726325081041079</v>
      </c>
      <c r="AI133" s="149">
        <f t="shared" si="40"/>
        <v>7.1028520734268863</v>
      </c>
      <c r="AJ133" s="149">
        <f t="shared" si="41"/>
        <v>-0.87029623970354075</v>
      </c>
      <c r="AK133" s="149">
        <f t="shared" si="42"/>
        <v>-0.21757405992588519</v>
      </c>
      <c r="AL133" s="148">
        <f t="shared" si="50"/>
        <v>3.3098060871506102E-2</v>
      </c>
    </row>
    <row r="134" spans="1:38" ht="21" customHeight="1" x14ac:dyDescent="0.3">
      <c r="A134" s="172"/>
      <c r="B134" s="159">
        <v>56</v>
      </c>
      <c r="C134" s="159">
        <v>458.5</v>
      </c>
      <c r="D134" s="159">
        <v>359.91</v>
      </c>
      <c r="E134" s="160">
        <v>5.45E-2</v>
      </c>
      <c r="F134" s="160">
        <v>9.5359999999999995E-5</v>
      </c>
      <c r="G134" s="159">
        <v>0.17499999999999999</v>
      </c>
      <c r="H134" s="159">
        <v>0.87</v>
      </c>
      <c r="I134" s="159">
        <v>390</v>
      </c>
      <c r="J134" s="220">
        <v>1.97</v>
      </c>
      <c r="K134" s="173"/>
      <c r="L134" s="174">
        <f t="shared" si="43"/>
        <v>1.1470193503063468</v>
      </c>
      <c r="M134" s="174">
        <f t="shared" si="44"/>
        <v>0.58224332502860254</v>
      </c>
      <c r="N134" s="174">
        <f t="shared" si="45"/>
        <v>0.2537252411325267</v>
      </c>
      <c r="O134" s="174">
        <f t="shared" si="26"/>
        <v>321.97733099717641</v>
      </c>
      <c r="P134" s="174">
        <f t="shared" si="27"/>
        <v>93.368191785940581</v>
      </c>
      <c r="Q134" s="175">
        <f t="shared" si="28"/>
        <v>93.368191785940581</v>
      </c>
      <c r="R134" s="176">
        <f t="shared" si="29"/>
        <v>17.188991184171204</v>
      </c>
      <c r="S134" s="177">
        <f t="shared" si="30"/>
        <v>367.98937058521568</v>
      </c>
      <c r="T134" s="177">
        <f t="shared" si="31"/>
        <v>67.746476887543821</v>
      </c>
      <c r="U134" s="167"/>
      <c r="V134" s="178">
        <f t="shared" si="46"/>
        <v>5.1683262209578001E-2</v>
      </c>
      <c r="W134" s="179">
        <f t="shared" si="47"/>
        <v>8.5757690010141905E-5</v>
      </c>
      <c r="X134" s="180">
        <f t="shared" si="32"/>
        <v>5.6508995594595539E-2</v>
      </c>
      <c r="Y134" s="180">
        <f t="shared" si="33"/>
        <v>2.1420163703044965E-4</v>
      </c>
      <c r="Z134" s="181">
        <f t="shared" si="34"/>
        <v>1.0479817720971243</v>
      </c>
      <c r="AA134" s="181">
        <f t="shared" si="35"/>
        <v>4.5745978658565077E-2</v>
      </c>
      <c r="AB134" s="181">
        <f t="shared" si="36"/>
        <v>-4.9113295341981243E-2</v>
      </c>
      <c r="AC134" s="181">
        <f t="shared" si="48"/>
        <v>5.3486525746799435E-2</v>
      </c>
      <c r="AD134" s="181">
        <f t="shared" si="49"/>
        <v>1.9190062413269911E-4</v>
      </c>
      <c r="AE134" s="267"/>
      <c r="AF134" s="182">
        <f t="shared" si="37"/>
        <v>0.28998374356596979</v>
      </c>
      <c r="AG134" s="182">
        <f t="shared" si="38"/>
        <v>1.4265484517852221E-2</v>
      </c>
      <c r="AH134" s="149">
        <f t="shared" si="39"/>
        <v>-6.6759798372512673</v>
      </c>
      <c r="AI134" s="149">
        <f t="shared" si="40"/>
        <v>7.8878795851831347</v>
      </c>
      <c r="AJ134" s="149">
        <f t="shared" si="41"/>
        <v>-1.2667066754658332</v>
      </c>
      <c r="AK134" s="149">
        <f t="shared" si="42"/>
        <v>-0.31667666886645829</v>
      </c>
      <c r="AL134" s="148">
        <f t="shared" si="50"/>
        <v>4.4839786499947354E-2</v>
      </c>
    </row>
    <row r="135" spans="1:38" ht="21" customHeight="1" x14ac:dyDescent="0.3">
      <c r="A135" s="172"/>
      <c r="B135" s="159">
        <v>55</v>
      </c>
      <c r="C135" s="159">
        <v>458.21</v>
      </c>
      <c r="D135" s="159">
        <v>384.96</v>
      </c>
      <c r="E135" s="160">
        <v>5.611E-2</v>
      </c>
      <c r="F135" s="160">
        <v>9.4980000000000002E-5</v>
      </c>
      <c r="G135" s="159">
        <v>0.16930000000000001</v>
      </c>
      <c r="H135" s="159">
        <v>0.88</v>
      </c>
      <c r="I135" s="159">
        <v>401</v>
      </c>
      <c r="J135" s="220">
        <v>2.0099999999999998</v>
      </c>
      <c r="K135" s="173"/>
      <c r="L135" s="174">
        <f t="shared" si="43"/>
        <v>1.1734048802202248</v>
      </c>
      <c r="M135" s="174">
        <f t="shared" si="44"/>
        <v>0.58378352249762433</v>
      </c>
      <c r="N135" s="174">
        <f t="shared" si="45"/>
        <v>0.26199446106701374</v>
      </c>
      <c r="O135" s="174">
        <f t="shared" si="26"/>
        <v>332.47097109404041</v>
      </c>
      <c r="P135" s="174">
        <f t="shared" si="27"/>
        <v>100.87521653393331</v>
      </c>
      <c r="Q135" s="175">
        <f t="shared" si="28"/>
        <v>100.87521653393331</v>
      </c>
      <c r="R135" s="176">
        <f t="shared" si="29"/>
        <v>18.570987024936748</v>
      </c>
      <c r="S135" s="177">
        <f t="shared" si="30"/>
        <v>385.02805029962508</v>
      </c>
      <c r="T135" s="177">
        <f t="shared" si="31"/>
        <v>70.88312840394974</v>
      </c>
      <c r="U135" s="167"/>
      <c r="V135" s="178">
        <f t="shared" si="46"/>
        <v>5.3128935432862102E-2</v>
      </c>
      <c r="W135" s="179">
        <f t="shared" si="47"/>
        <v>8.515572593061966E-5</v>
      </c>
      <c r="X135" s="180">
        <f t="shared" si="32"/>
        <v>5.819636472718942E-2</v>
      </c>
      <c r="Y135" s="180">
        <f t="shared" si="33"/>
        <v>2.2012456839837365E-4</v>
      </c>
      <c r="Z135" s="181">
        <f t="shared" si="34"/>
        <v>1.0481289567894843</v>
      </c>
      <c r="AA135" s="181">
        <f t="shared" si="35"/>
        <v>4.7511054069928928E-2</v>
      </c>
      <c r="AB135" s="181">
        <f t="shared" si="36"/>
        <v>-4.9270300038160915E-2</v>
      </c>
      <c r="AC135" s="181">
        <f t="shared" si="48"/>
        <v>5.4995808591908037E-2</v>
      </c>
      <c r="AD135" s="181">
        <f t="shared" si="49"/>
        <v>1.9657848647211049E-4</v>
      </c>
      <c r="AE135" s="267"/>
      <c r="AF135" s="182">
        <f t="shared" si="37"/>
        <v>0.30341059913288027</v>
      </c>
      <c r="AG135" s="182">
        <f t="shared" si="38"/>
        <v>1.4925556755427338E-2</v>
      </c>
      <c r="AH135" s="149">
        <f t="shared" si="39"/>
        <v>-6.7454670827219667</v>
      </c>
      <c r="AI135" s="149">
        <f t="shared" si="40"/>
        <v>8.0272753795461398</v>
      </c>
      <c r="AJ135" s="149">
        <f t="shared" si="41"/>
        <v>-1.3391529000602873</v>
      </c>
      <c r="AK135" s="149">
        <f t="shared" si="42"/>
        <v>-0.33478822501507183</v>
      </c>
      <c r="AL135" s="148">
        <f t="shared" si="50"/>
        <v>5.8266642066857832E-2</v>
      </c>
    </row>
    <row r="136" spans="1:38" ht="21" customHeight="1" x14ac:dyDescent="0.3">
      <c r="A136" s="172"/>
      <c r="B136" s="159">
        <v>42</v>
      </c>
      <c r="C136" s="159">
        <v>452.05</v>
      </c>
      <c r="D136" s="159">
        <v>426.75</v>
      </c>
      <c r="E136" s="160">
        <v>5.423E-2</v>
      </c>
      <c r="F136" s="160">
        <v>9.0779999999999995E-5</v>
      </c>
      <c r="G136" s="159">
        <v>0.16739999999999999</v>
      </c>
      <c r="H136" s="159">
        <v>1.04</v>
      </c>
      <c r="I136" s="159">
        <v>554</v>
      </c>
      <c r="J136" s="220">
        <v>2.95</v>
      </c>
      <c r="K136" s="173"/>
      <c r="L136" s="174">
        <f t="shared" si="43"/>
        <v>1.6399350857900028</v>
      </c>
      <c r="M136" s="174">
        <f t="shared" si="44"/>
        <v>0.55591019857288226</v>
      </c>
      <c r="N136" s="174">
        <f t="shared" si="45"/>
        <v>0.35306300076629493</v>
      </c>
      <c r="O136" s="174">
        <f t="shared" si="26"/>
        <v>448.03694797242827</v>
      </c>
      <c r="P136" s="174">
        <f t="shared" si="27"/>
        <v>128.92492272622383</v>
      </c>
      <c r="Q136" s="175">
        <f t="shared" si="28"/>
        <v>128.92492272622383</v>
      </c>
      <c r="R136" s="176">
        <f t="shared" si="29"/>
        <v>23.734894731232664</v>
      </c>
      <c r="S136" s="177">
        <f t="shared" si="30"/>
        <v>365.16123877722276</v>
      </c>
      <c r="T136" s="177">
        <f t="shared" si="31"/>
        <v>67.225664200774304</v>
      </c>
      <c r="U136" s="167"/>
      <c r="V136" s="178">
        <f t="shared" si="46"/>
        <v>5.144038777116948E-2</v>
      </c>
      <c r="W136" s="179">
        <f t="shared" si="47"/>
        <v>8.1680697379256167E-5</v>
      </c>
      <c r="X136" s="180">
        <f t="shared" si="32"/>
        <v>5.6226043847963994E-2</v>
      </c>
      <c r="Y136" s="180">
        <f t="shared" si="33"/>
        <v>2.1097849983582322E-4</v>
      </c>
      <c r="Z136" s="181">
        <f t="shared" si="34"/>
        <v>1.0479570919855619</v>
      </c>
      <c r="AA136" s="181">
        <f t="shared" si="35"/>
        <v>4.545052478806326E-2</v>
      </c>
      <c r="AB136" s="181">
        <f t="shared" si="36"/>
        <v>-4.9086992050919723E-2</v>
      </c>
      <c r="AC136" s="181">
        <f t="shared" si="48"/>
        <v>5.3232964833100936E-2</v>
      </c>
      <c r="AD136" s="181">
        <f t="shared" si="49"/>
        <v>1.8911433772814129E-4</v>
      </c>
      <c r="AE136" s="267"/>
      <c r="AF136" s="182">
        <f t="shared" si="37"/>
        <v>0.28775511329962394</v>
      </c>
      <c r="AG136" s="182">
        <f t="shared" si="38"/>
        <v>1.4155387756436757E-2</v>
      </c>
      <c r="AH136" s="149">
        <f t="shared" si="39"/>
        <v>-6.6644461332049802</v>
      </c>
      <c r="AI136" s="149">
        <f t="shared" si="40"/>
        <v>7.8648603948813527</v>
      </c>
      <c r="AJ136" s="149">
        <f t="shared" si="41"/>
        <v>-1.2547999780900005</v>
      </c>
      <c r="AK136" s="149">
        <f t="shared" si="42"/>
        <v>-0.31369999452250014</v>
      </c>
      <c r="AL136" s="148">
        <f t="shared" si="50"/>
        <v>4.261115623360151E-2</v>
      </c>
    </row>
    <row r="137" spans="1:38" ht="21" customHeight="1" x14ac:dyDescent="0.3">
      <c r="A137" s="172"/>
      <c r="B137" s="159">
        <v>38</v>
      </c>
      <c r="C137" s="159">
        <v>429.86</v>
      </c>
      <c r="D137" s="159">
        <v>495.77</v>
      </c>
      <c r="E137" s="160">
        <v>4.9419999999999999E-2</v>
      </c>
      <c r="F137" s="160">
        <v>1.103E-4</v>
      </c>
      <c r="G137" s="159">
        <v>0.22309999999999999</v>
      </c>
      <c r="H137" s="159">
        <v>0.74</v>
      </c>
      <c r="I137" s="159">
        <v>285</v>
      </c>
      <c r="J137" s="220">
        <v>1.73</v>
      </c>
      <c r="K137" s="173"/>
      <c r="L137" s="174">
        <f t="shared" si="43"/>
        <v>0.92675553719214632</v>
      </c>
      <c r="M137" s="174">
        <f t="shared" si="44"/>
        <v>0.53569684230759895</v>
      </c>
      <c r="N137" s="174">
        <f t="shared" si="45"/>
        <v>0.16863196816113427</v>
      </c>
      <c r="O137" s="174">
        <f t="shared" si="26"/>
        <v>213.99396759647939</v>
      </c>
      <c r="P137" s="174">
        <f t="shared" si="27"/>
        <v>53.311020720108573</v>
      </c>
      <c r="Q137" s="175">
        <f t="shared" si="28"/>
        <v>53.311020720108573</v>
      </c>
      <c r="R137" s="176">
        <f t="shared" si="29"/>
        <v>9.8207559916337015</v>
      </c>
      <c r="S137" s="177">
        <f t="shared" si="30"/>
        <v>316.13828209113859</v>
      </c>
      <c r="T137" s="177">
        <f t="shared" si="31"/>
        <v>58.23780685670225</v>
      </c>
      <c r="U137" s="167"/>
      <c r="V137" s="178">
        <f t="shared" si="46"/>
        <v>4.7092679765965963E-2</v>
      </c>
      <c r="W137" s="179">
        <f t="shared" si="47"/>
        <v>1.0015596941340355E-4</v>
      </c>
      <c r="X137" s="180">
        <f t="shared" si="32"/>
        <v>5.1186427405311367E-2</v>
      </c>
      <c r="Y137" s="180">
        <f t="shared" si="33"/>
        <v>2.0393098390728137E-4</v>
      </c>
      <c r="Z137" s="181">
        <f t="shared" si="34"/>
        <v>1.0475175664392253</v>
      </c>
      <c r="AA137" s="181">
        <f t="shared" si="35"/>
        <v>4.0213652941193834E-2</v>
      </c>
      <c r="AB137" s="181">
        <f t="shared" si="36"/>
        <v>-4.8619687827090245E-2</v>
      </c>
      <c r="AC137" s="181">
        <f t="shared" si="48"/>
        <v>4.8693957675668462E-2</v>
      </c>
      <c r="AD137" s="181">
        <f t="shared" si="49"/>
        <v>1.8455411157372272E-4</v>
      </c>
      <c r="AE137" s="267"/>
      <c r="AF137" s="182">
        <f t="shared" si="37"/>
        <v>0.24912394175818645</v>
      </c>
      <c r="AG137" s="182">
        <f t="shared" si="38"/>
        <v>1.236427696357938E-2</v>
      </c>
      <c r="AH137" s="149">
        <f t="shared" si="39"/>
        <v>-6.4645204181823219</v>
      </c>
      <c r="AI137" s="149">
        <f t="shared" si="40"/>
        <v>7.4711898306175746</v>
      </c>
      <c r="AJ137" s="149">
        <f t="shared" si="41"/>
        <v>-1.0537538374275477</v>
      </c>
      <c r="AK137" s="149">
        <f t="shared" si="42"/>
        <v>-0.26343845935688692</v>
      </c>
      <c r="AL137" s="148">
        <f t="shared" si="50"/>
        <v>3.9799846921640125E-3</v>
      </c>
    </row>
    <row r="138" spans="1:38" ht="21" customHeight="1" x14ac:dyDescent="0.3">
      <c r="A138" s="172"/>
      <c r="B138" s="159">
        <v>37</v>
      </c>
      <c r="C138" s="159">
        <v>429.03</v>
      </c>
      <c r="D138" s="159">
        <v>399.86</v>
      </c>
      <c r="E138" s="160">
        <v>4.8590000000000001E-2</v>
      </c>
      <c r="F138" s="160">
        <v>7.9029999999999994E-5</v>
      </c>
      <c r="G138" s="159">
        <v>0.16259999999999999</v>
      </c>
      <c r="H138" s="159">
        <v>1.1200000000000001</v>
      </c>
      <c r="I138" s="159">
        <v>646</v>
      </c>
      <c r="J138" s="220">
        <v>1.94</v>
      </c>
      <c r="K138" s="173"/>
      <c r="L138" s="174">
        <f t="shared" si="43"/>
        <v>1.4663355301630434</v>
      </c>
      <c r="M138" s="174">
        <f t="shared" si="44"/>
        <v>0.75584305678507391</v>
      </c>
      <c r="N138" s="174">
        <f t="shared" si="45"/>
        <v>0.54489214691427235</v>
      </c>
      <c r="O138" s="174">
        <f t="shared" si="26"/>
        <v>691.46813443421161</v>
      </c>
      <c r="P138" s="174">
        <f t="shared" si="27"/>
        <v>167.78938241178176</v>
      </c>
      <c r="Q138" s="175">
        <f t="shared" si="28"/>
        <v>167.78938241178176</v>
      </c>
      <c r="R138" s="176">
        <f t="shared" si="29"/>
        <v>30.913001434128866</v>
      </c>
      <c r="S138" s="177">
        <f t="shared" si="30"/>
        <v>307.93136469661766</v>
      </c>
      <c r="T138" s="177">
        <f t="shared" si="31"/>
        <v>56.732330625775006</v>
      </c>
      <c r="U138" s="167"/>
      <c r="V138" s="178">
        <f t="shared" si="46"/>
        <v>4.6338416349574196E-2</v>
      </c>
      <c r="W138" s="179">
        <f t="shared" si="47"/>
        <v>7.187544698680434E-5</v>
      </c>
      <c r="X138" s="180">
        <f t="shared" si="32"/>
        <v>5.0317019289090215E-2</v>
      </c>
      <c r="Y138" s="180">
        <f t="shared" si="33"/>
        <v>1.8422619830688598E-4</v>
      </c>
      <c r="Z138" s="181">
        <f t="shared" si="34"/>
        <v>1.0474417511281908</v>
      </c>
      <c r="AA138" s="181">
        <f t="shared" si="35"/>
        <v>3.931508354448264E-2</v>
      </c>
      <c r="AB138" s="181">
        <f t="shared" si="36"/>
        <v>-4.853929700436603E-2</v>
      </c>
      <c r="AC138" s="181">
        <f t="shared" si="48"/>
        <v>4.7906506668955448E-2</v>
      </c>
      <c r="AD138" s="181">
        <f t="shared" si="49"/>
        <v>1.6699773638612574E-4</v>
      </c>
      <c r="AE138" s="267"/>
      <c r="AF138" s="182">
        <f t="shared" si="37"/>
        <v>0.24265670976880824</v>
      </c>
      <c r="AG138" s="182">
        <f t="shared" si="38"/>
        <v>1.2061923649764583E-2</v>
      </c>
      <c r="AH138" s="149">
        <f t="shared" si="39"/>
        <v>-6.4310509186019909</v>
      </c>
      <c r="AI138" s="149">
        <f t="shared" si="40"/>
        <v>7.4062732061771896</v>
      </c>
      <c r="AJ138" s="149">
        <f t="shared" si="41"/>
        <v>-1.0210844057215045</v>
      </c>
      <c r="AK138" s="149">
        <f t="shared" si="42"/>
        <v>-0.25527110143037612</v>
      </c>
      <c r="AL138" s="148">
        <f t="shared" si="50"/>
        <v>2.4872472972141957E-3</v>
      </c>
    </row>
    <row r="139" spans="1:38" ht="21" customHeight="1" x14ac:dyDescent="0.3">
      <c r="A139" s="172"/>
      <c r="B139" s="159">
        <v>4</v>
      </c>
      <c r="C139" s="159">
        <v>103.15</v>
      </c>
      <c r="D139" s="159">
        <v>378.07</v>
      </c>
      <c r="E139" s="160">
        <v>1.8089999999999998E-2</v>
      </c>
      <c r="F139" s="160">
        <v>1.137E-4</v>
      </c>
      <c r="G139" s="159">
        <v>0.62839999999999996</v>
      </c>
      <c r="H139" s="159">
        <v>0.5</v>
      </c>
      <c r="I139" s="159">
        <v>130</v>
      </c>
      <c r="J139" s="220">
        <v>2.69</v>
      </c>
      <c r="K139" s="173"/>
      <c r="L139" s="174">
        <f t="shared" si="43"/>
        <v>0.76148518547538291</v>
      </c>
      <c r="M139" s="174">
        <f t="shared" si="44"/>
        <v>0.28307999460051408</v>
      </c>
      <c r="N139" s="174">
        <f t="shared" si="45"/>
        <v>4.1987070699647133E-2</v>
      </c>
      <c r="O139" s="174">
        <f t="shared" si="26"/>
        <v>53.281592717852213</v>
      </c>
      <c r="P139" s="174">
        <f t="shared" si="27"/>
        <v>2.0734972759719379</v>
      </c>
      <c r="Q139" s="175">
        <f t="shared" si="28"/>
        <v>2.0734972759719379</v>
      </c>
      <c r="R139" s="176">
        <f t="shared" si="29"/>
        <v>0.47911814102641492</v>
      </c>
      <c r="S139" s="177">
        <f t="shared" si="30"/>
        <v>49.384185212743688</v>
      </c>
      <c r="T139" s="177">
        <f t="shared" si="31"/>
        <v>11.411087581073893</v>
      </c>
      <c r="U139" s="167"/>
      <c r="V139" s="178">
        <f t="shared" si="46"/>
        <v>1.7768566629669282E-2</v>
      </c>
      <c r="W139" s="179">
        <f t="shared" si="47"/>
        <v>1.0969532553527351E-4</v>
      </c>
      <c r="X139" s="180">
        <f t="shared" si="32"/>
        <v>1.841247341301696E-2</v>
      </c>
      <c r="Y139" s="180">
        <f t="shared" si="33"/>
        <v>1.3057850783922226E-4</v>
      </c>
      <c r="Z139" s="181">
        <f t="shared" si="34"/>
        <v>1.0446614652162032</v>
      </c>
      <c r="AA139" s="181">
        <f t="shared" si="35"/>
        <v>7.3312625995857975E-3</v>
      </c>
      <c r="AB139" s="181">
        <f t="shared" si="36"/>
        <v>-4.5635214504141625E-2</v>
      </c>
      <c r="AC139" s="181">
        <f t="shared" si="48"/>
        <v>1.8079583561374731E-2</v>
      </c>
      <c r="AD139" s="181">
        <f t="shared" si="49"/>
        <v>1.2589958012368608E-4</v>
      </c>
      <c r="AE139" s="267"/>
      <c r="AF139" s="182">
        <f t="shared" si="37"/>
        <v>3.8915827590814571E-2</v>
      </c>
      <c r="AG139" s="182">
        <f t="shared" si="38"/>
        <v>5.7616289375066821E-3</v>
      </c>
      <c r="AH139" s="149">
        <f t="shared" si="39"/>
        <v>-5.3766422656029365</v>
      </c>
      <c r="AI139" s="149">
        <f t="shared" si="40"/>
        <v>5.506193905965266</v>
      </c>
      <c r="AJ139" s="149">
        <f t="shared" si="41"/>
        <v>-0.13690673177699075</v>
      </c>
      <c r="AK139" s="149">
        <f t="shared" si="42"/>
        <v>-3.4226682944247688E-2</v>
      </c>
      <c r="AL139" s="148">
        <f t="shared" si="50"/>
        <v>0.20622812947520786</v>
      </c>
    </row>
    <row r="140" spans="1:38" ht="21" customHeight="1" x14ac:dyDescent="0.3">
      <c r="A140" s="172"/>
      <c r="B140" s="159">
        <v>5</v>
      </c>
      <c r="C140" s="159">
        <v>111.71</v>
      </c>
      <c r="D140" s="159">
        <v>363.11</v>
      </c>
      <c r="E140" s="160">
        <v>5.0930000000000003E-2</v>
      </c>
      <c r="F140" s="160">
        <v>8.3300000000000005E-5</v>
      </c>
      <c r="G140" s="159">
        <v>0.1636</v>
      </c>
      <c r="H140" s="159">
        <v>1.08</v>
      </c>
      <c r="I140" s="159">
        <v>595</v>
      </c>
      <c r="J140" s="220">
        <v>2.19</v>
      </c>
      <c r="K140" s="173"/>
      <c r="L140" s="174">
        <f t="shared" si="43"/>
        <v>1.4846883801815016</v>
      </c>
      <c r="M140" s="174">
        <f t="shared" si="44"/>
        <v>0.67793989962625645</v>
      </c>
      <c r="N140" s="174">
        <f t="shared" si="45"/>
        <v>0.45435719108690797</v>
      </c>
      <c r="O140" s="174">
        <f t="shared" si="26"/>
        <v>576.57927548928626</v>
      </c>
      <c r="P140" s="174">
        <f t="shared" si="27"/>
        <v>150.50856604458974</v>
      </c>
      <c r="Q140" s="175">
        <f t="shared" si="28"/>
        <v>150.50856604458974</v>
      </c>
      <c r="R140" s="176">
        <f t="shared" si="29"/>
        <v>27.716249410837193</v>
      </c>
      <c r="S140" s="177">
        <f t="shared" si="30"/>
        <v>331.25604479714497</v>
      </c>
      <c r="T140" s="177">
        <f t="shared" si="31"/>
        <v>61.001014079990028</v>
      </c>
      <c r="U140" s="167"/>
      <c r="V140" s="178">
        <f t="shared" si="46"/>
        <v>4.8461838562035536E-2</v>
      </c>
      <c r="W140" s="179">
        <f t="shared" si="47"/>
        <v>7.542189189363941E-5</v>
      </c>
      <c r="X140" s="180">
        <f t="shared" si="32"/>
        <v>5.2768283079585004E-2</v>
      </c>
      <c r="Y140" s="180">
        <f t="shared" si="33"/>
        <v>1.9498691615097452E-4</v>
      </c>
      <c r="Z140" s="181">
        <f t="shared" si="34"/>
        <v>1.0476555166103472</v>
      </c>
      <c r="AA140" s="181">
        <f t="shared" si="35"/>
        <v>4.1852240861750961E-2</v>
      </c>
      <c r="AB140" s="181">
        <f t="shared" si="36"/>
        <v>-4.8766126545766821E-2</v>
      </c>
      <c r="AC140" s="181">
        <f t="shared" si="48"/>
        <v>5.0123359458765095E-2</v>
      </c>
      <c r="AD140" s="181">
        <f t="shared" si="49"/>
        <v>1.7592999318063776E-4</v>
      </c>
      <c r="AE140" s="267"/>
      <c r="AF140" s="182">
        <f t="shared" si="37"/>
        <v>0.26103707233817569</v>
      </c>
      <c r="AG140" s="182">
        <f t="shared" si="38"/>
        <v>1.2891833490840322E-2</v>
      </c>
      <c r="AH140" s="149">
        <f t="shared" si="39"/>
        <v>-6.5261737684258652</v>
      </c>
      <c r="AI140" s="149">
        <f t="shared" si="40"/>
        <v>7.5915126416627299</v>
      </c>
      <c r="AJ140" s="149">
        <f t="shared" si="41"/>
        <v>-1.1146748799087798</v>
      </c>
      <c r="AK140" s="149">
        <f t="shared" si="42"/>
        <v>-0.27866871997719495</v>
      </c>
      <c r="AL140" s="148">
        <f t="shared" si="50"/>
        <v>1.5893115272153258E-2</v>
      </c>
    </row>
    <row r="141" spans="1:38" ht="21" customHeight="1" x14ac:dyDescent="0.3">
      <c r="A141" s="172"/>
      <c r="B141" s="159">
        <v>6</v>
      </c>
      <c r="C141" s="159">
        <v>113.81</v>
      </c>
      <c r="D141" s="159">
        <v>323.45999999999998</v>
      </c>
      <c r="E141" s="160">
        <v>1.404E-2</v>
      </c>
      <c r="F141" s="160">
        <v>6.3629999999999999E-5</v>
      </c>
      <c r="G141" s="159">
        <v>0.45319999999999999</v>
      </c>
      <c r="H141" s="159">
        <v>0.77</v>
      </c>
      <c r="I141" s="159">
        <v>305</v>
      </c>
      <c r="J141" s="220">
        <v>1.07</v>
      </c>
      <c r="K141" s="173"/>
      <c r="L141" s="174">
        <f t="shared" si="43"/>
        <v>0.78924088576694795</v>
      </c>
      <c r="M141" s="174">
        <f t="shared" si="44"/>
        <v>0.7376083044550914</v>
      </c>
      <c r="N141" s="174">
        <f t="shared" si="45"/>
        <v>0.23218721011551804</v>
      </c>
      <c r="O141" s="174">
        <f t="shared" si="26"/>
        <v>294.64556963659243</v>
      </c>
      <c r="P141" s="174">
        <f t="shared" si="27"/>
        <v>4.7266186375070234</v>
      </c>
      <c r="Q141" s="175">
        <f t="shared" si="28"/>
        <v>4.7266186375070234</v>
      </c>
      <c r="R141" s="176">
        <f t="shared" si="29"/>
        <v>1.8192559121584655</v>
      </c>
      <c r="S141" s="177">
        <f t="shared" si="30"/>
        <v>20.356929372446611</v>
      </c>
      <c r="T141" s="177">
        <f t="shared" si="31"/>
        <v>7.8352976947065578</v>
      </c>
      <c r="U141" s="167"/>
      <c r="V141" s="178">
        <f t="shared" si="46"/>
        <v>1.3845607668336554E-2</v>
      </c>
      <c r="W141" s="179">
        <f t="shared" si="47"/>
        <v>6.18802058933215E-5</v>
      </c>
      <c r="X141" s="180">
        <f t="shared" si="32"/>
        <v>1.418234045902959E-2</v>
      </c>
      <c r="Y141" s="180">
        <f t="shared" si="33"/>
        <v>8.1431347205959608E-5</v>
      </c>
      <c r="Z141" s="181">
        <f t="shared" si="34"/>
        <v>1.044293112439223</v>
      </c>
      <c r="AA141" s="181">
        <f t="shared" si="35"/>
        <v>3.235464529833908E-3</v>
      </c>
      <c r="AB141" s="181">
        <f t="shared" si="36"/>
        <v>-4.5256896066754031E-2</v>
      </c>
      <c r="AC141" s="181">
        <f t="shared" si="48"/>
        <v>1.3984014405743364E-2</v>
      </c>
      <c r="AD141" s="181">
        <f t="shared" si="49"/>
        <v>7.9169797057609097E-5</v>
      </c>
      <c r="AE141" s="267"/>
      <c r="AF141" s="182">
        <f t="shared" si="37"/>
        <v>1.6041709513354305E-2</v>
      </c>
      <c r="AG141" s="182">
        <f t="shared" si="38"/>
        <v>5.4794223017871286E-3</v>
      </c>
      <c r="AH141" s="149">
        <f t="shared" si="39"/>
        <v>-5.2582631373064093</v>
      </c>
      <c r="AI141" s="149">
        <f t="shared" si="40"/>
        <v>5.3104237907839309</v>
      </c>
      <c r="AJ141" s="149">
        <f t="shared" si="41"/>
        <v>-5.5192536575543349E-2</v>
      </c>
      <c r="AK141" s="149">
        <f t="shared" si="42"/>
        <v>-1.3798134143885837E-2</v>
      </c>
      <c r="AL141" s="148">
        <f t="shared" si="50"/>
        <v>0.22910224755266811</v>
      </c>
    </row>
    <row r="142" spans="1:38" ht="21" customHeight="1" x14ac:dyDescent="0.3">
      <c r="A142" s="172"/>
      <c r="B142" s="159">
        <v>7</v>
      </c>
      <c r="C142" s="159">
        <v>137.77000000000001</v>
      </c>
      <c r="D142" s="159">
        <v>368.66</v>
      </c>
      <c r="E142" s="160">
        <v>3.9989999999999998E-2</v>
      </c>
      <c r="F142" s="160">
        <v>7.3529999999999996E-5</v>
      </c>
      <c r="G142" s="159">
        <v>0.18379999999999999</v>
      </c>
      <c r="H142" s="159">
        <v>1.04</v>
      </c>
      <c r="I142" s="159">
        <v>561</v>
      </c>
      <c r="J142" s="220">
        <v>1.96</v>
      </c>
      <c r="K142" s="173"/>
      <c r="L142" s="174">
        <f t="shared" si="43"/>
        <v>1.3726198634214817</v>
      </c>
      <c r="M142" s="174">
        <f t="shared" si="44"/>
        <v>0.70031625684769483</v>
      </c>
      <c r="N142" s="174">
        <f t="shared" si="45"/>
        <v>0.43880449995870419</v>
      </c>
      <c r="O142" s="174">
        <f t="shared" si="26"/>
        <v>556.84291044759561</v>
      </c>
      <c r="P142" s="174">
        <f t="shared" si="27"/>
        <v>99.587812434665423</v>
      </c>
      <c r="Q142" s="175">
        <f t="shared" si="28"/>
        <v>99.587812434665423</v>
      </c>
      <c r="R142" s="176">
        <f t="shared" si="29"/>
        <v>18.435366513224402</v>
      </c>
      <c r="S142" s="177">
        <f t="shared" si="30"/>
        <v>226.95257784283802</v>
      </c>
      <c r="T142" s="177">
        <f t="shared" si="31"/>
        <v>42.01271070592793</v>
      </c>
      <c r="U142" s="167"/>
      <c r="V142" s="178">
        <f t="shared" si="46"/>
        <v>3.8452292810507792E-2</v>
      </c>
      <c r="W142" s="179">
        <f t="shared" si="47"/>
        <v>6.7983925720096691E-5</v>
      </c>
      <c r="X142" s="180">
        <f t="shared" si="32"/>
        <v>4.1312396671779363E-2</v>
      </c>
      <c r="Y142" s="180">
        <f t="shared" si="33"/>
        <v>1.5062655684947027E-4</v>
      </c>
      <c r="Z142" s="181">
        <f t="shared" si="34"/>
        <v>1.0466566791280767</v>
      </c>
      <c r="AA142" s="181">
        <f t="shared" si="35"/>
        <v>3.0092685498753761E-2</v>
      </c>
      <c r="AB142" s="181">
        <f t="shared" si="36"/>
        <v>-4.7710586328342311E-2</v>
      </c>
      <c r="AC142" s="181">
        <f t="shared" si="48"/>
        <v>3.9673393694170132E-2</v>
      </c>
      <c r="AD142" s="181">
        <f t="shared" si="49"/>
        <v>1.3891190637998105E-4</v>
      </c>
      <c r="AE142" s="267"/>
      <c r="AF142" s="182">
        <f t="shared" si="37"/>
        <v>0.1788436389620473</v>
      </c>
      <c r="AG142" s="182">
        <f t="shared" si="38"/>
        <v>9.4564229483177671E-3</v>
      </c>
      <c r="AH142" s="149">
        <f t="shared" si="39"/>
        <v>-6.1008027459534189</v>
      </c>
      <c r="AI142" s="149">
        <f t="shared" si="40"/>
        <v>6.780918542326682</v>
      </c>
      <c r="AJ142" s="149">
        <f t="shared" si="41"/>
        <v>-0.7139172441370899</v>
      </c>
      <c r="AK142" s="149">
        <f t="shared" si="42"/>
        <v>-0.17847931103427248</v>
      </c>
      <c r="AL142" s="148">
        <f t="shared" si="50"/>
        <v>6.6300318103975131E-2</v>
      </c>
    </row>
    <row r="143" spans="1:38" ht="21" customHeight="1" x14ac:dyDescent="0.3">
      <c r="A143" s="172"/>
      <c r="B143" s="159">
        <v>8</v>
      </c>
      <c r="C143" s="159">
        <v>140.51</v>
      </c>
      <c r="D143" s="159">
        <v>333.45</v>
      </c>
      <c r="E143" s="160">
        <v>5.4359999999999999E-2</v>
      </c>
      <c r="F143" s="160">
        <v>8.9859999999999997E-5</v>
      </c>
      <c r="G143" s="159">
        <v>0.1653</v>
      </c>
      <c r="H143" s="159">
        <v>1.06</v>
      </c>
      <c r="I143" s="159">
        <v>583</v>
      </c>
      <c r="J143" s="220">
        <v>1.77</v>
      </c>
      <c r="K143" s="173"/>
      <c r="L143" s="174">
        <f t="shared" si="43"/>
        <v>1.3385875689448621</v>
      </c>
      <c r="M143" s="174">
        <f t="shared" si="44"/>
        <v>0.75626416324568468</v>
      </c>
      <c r="N143" s="174">
        <f t="shared" si="45"/>
        <v>0.48805240847271963</v>
      </c>
      <c r="O143" s="174">
        <f t="shared" si="26"/>
        <v>619.33850635188116</v>
      </c>
      <c r="P143" s="174">
        <f t="shared" si="27"/>
        <v>178.8818920639973</v>
      </c>
      <c r="Q143" s="175">
        <f t="shared" si="28"/>
        <v>178.8818920639973</v>
      </c>
      <c r="R143" s="176">
        <f t="shared" si="29"/>
        <v>32.931701041839403</v>
      </c>
      <c r="S143" s="177">
        <f t="shared" si="30"/>
        <v>366.52189182669747</v>
      </c>
      <c r="T143" s="177">
        <f t="shared" si="31"/>
        <v>67.475747420023581</v>
      </c>
      <c r="U143" s="167"/>
      <c r="V143" s="178">
        <f t="shared" si="46"/>
        <v>5.1557342843051711E-2</v>
      </c>
      <c r="W143" s="179">
        <f t="shared" si="47"/>
        <v>8.083297656599585E-5</v>
      </c>
      <c r="X143" s="180">
        <f t="shared" si="32"/>
        <v>5.6362279042308935E-2</v>
      </c>
      <c r="Y143" s="180">
        <f t="shared" si="33"/>
        <v>2.110404103266857E-4</v>
      </c>
      <c r="Z143" s="181">
        <f t="shared" si="34"/>
        <v>1.0479689748934096</v>
      </c>
      <c r="AA143" s="181">
        <f t="shared" si="35"/>
        <v>4.5592760546081412E-2</v>
      </c>
      <c r="AB143" s="181">
        <f t="shared" si="36"/>
        <v>-4.9099655641672277E-2</v>
      </c>
      <c r="AC143" s="181">
        <f t="shared" si="48"/>
        <v>5.3355065928145984E-2</v>
      </c>
      <c r="AD143" s="181">
        <f t="shared" si="49"/>
        <v>1.8912104235804594E-4</v>
      </c>
      <c r="AE143" s="267"/>
      <c r="AF143" s="182">
        <f t="shared" si="37"/>
        <v>0.28882733792489951</v>
      </c>
      <c r="AG143" s="182">
        <f t="shared" si="38"/>
        <v>1.4206920808804391E-2</v>
      </c>
      <c r="AH143" s="149">
        <f t="shared" si="39"/>
        <v>-6.6699951566055056</v>
      </c>
      <c r="AI143" s="149">
        <f t="shared" si="40"/>
        <v>7.8759310447478477</v>
      </c>
      <c r="AJ143" s="149">
        <f t="shared" si="41"/>
        <v>-1.2605242550101454</v>
      </c>
      <c r="AK143" s="149">
        <f t="shared" si="42"/>
        <v>-0.31513106375253636</v>
      </c>
      <c r="AL143" s="148">
        <f t="shared" si="50"/>
        <v>4.3683380858877074E-2</v>
      </c>
    </row>
    <row r="144" spans="1:38" ht="21" customHeight="1" x14ac:dyDescent="0.3">
      <c r="A144" s="172"/>
      <c r="B144" s="159">
        <v>9</v>
      </c>
      <c r="C144" s="159">
        <v>142.06</v>
      </c>
      <c r="D144" s="159">
        <v>394.17</v>
      </c>
      <c r="E144" s="160">
        <v>1.2959999999999999E-2</v>
      </c>
      <c r="F144" s="160">
        <v>5.0460000000000001E-5</v>
      </c>
      <c r="G144" s="159">
        <v>0.38919999999999999</v>
      </c>
      <c r="H144" s="159">
        <v>0.9</v>
      </c>
      <c r="I144" s="159">
        <v>414</v>
      </c>
      <c r="J144" s="220">
        <v>2.85</v>
      </c>
      <c r="K144" s="173"/>
      <c r="L144" s="174">
        <f t="shared" si="43"/>
        <v>1.3953461093933357</v>
      </c>
      <c r="M144" s="174">
        <f t="shared" si="44"/>
        <v>0.48959512610292472</v>
      </c>
      <c r="N144" s="174">
        <f t="shared" si="45"/>
        <v>0.23196733636830935</v>
      </c>
      <c r="O144" s="174">
        <f t="shared" si="26"/>
        <v>294.36654985138455</v>
      </c>
      <c r="P144" s="174">
        <f t="shared" si="27"/>
        <v>2.9675700456314731</v>
      </c>
      <c r="Q144" s="175">
        <f t="shared" si="28"/>
        <v>2.9675700456314731</v>
      </c>
      <c r="R144" s="176">
        <f t="shared" si="29"/>
        <v>1.6819676950036642</v>
      </c>
      <c r="S144" s="177">
        <f t="shared" si="30"/>
        <v>12.793051349780008</v>
      </c>
      <c r="T144" s="177">
        <f t="shared" si="31"/>
        <v>7.2508816169406574</v>
      </c>
      <c r="U144" s="167"/>
      <c r="V144" s="178">
        <f t="shared" si="46"/>
        <v>1.279418733217501E-2</v>
      </c>
      <c r="W144" s="179">
        <f t="shared" si="47"/>
        <v>4.9177070473876992E-5</v>
      </c>
      <c r="X144" s="180">
        <f t="shared" si="32"/>
        <v>1.3054556923873728E-2</v>
      </c>
      <c r="Y144" s="180">
        <f t="shared" si="33"/>
        <v>6.9923114259096516E-5</v>
      </c>
      <c r="Z144" s="181">
        <f t="shared" si="34"/>
        <v>1.0441949179355932</v>
      </c>
      <c r="AA144" s="181">
        <f t="shared" si="35"/>
        <v>2.1492216021045691E-3</v>
      </c>
      <c r="AB144" s="181">
        <f t="shared" si="36"/>
        <v>-4.5156299553385959E-2</v>
      </c>
      <c r="AC144" s="181">
        <f t="shared" si="48"/>
        <v>1.2886331574790711E-2</v>
      </c>
      <c r="AD144" s="181">
        <f t="shared" si="49"/>
        <v>6.8132620649371894E-5</v>
      </c>
      <c r="AE144" s="267"/>
      <c r="AF144" s="182">
        <f t="shared" si="37"/>
        <v>1.0081206737415294E-2</v>
      </c>
      <c r="AG144" s="182">
        <f t="shared" si="38"/>
        <v>5.426746174832622E-3</v>
      </c>
      <c r="AH144" s="149">
        <f t="shared" si="39"/>
        <v>-5.2274160847365456</v>
      </c>
      <c r="AI144" s="149">
        <f t="shared" si="40"/>
        <v>5.2599923026879702</v>
      </c>
      <c r="AJ144" s="149">
        <f t="shared" si="41"/>
        <v>-3.4481566024796795E-2</v>
      </c>
      <c r="AK144" s="149">
        <f t="shared" si="42"/>
        <v>-8.6203915061991987E-3</v>
      </c>
      <c r="AL144" s="148">
        <f t="shared" si="50"/>
        <v>0.23506275032860713</v>
      </c>
    </row>
    <row r="145" spans="1:38" ht="21" customHeight="1" x14ac:dyDescent="0.3">
      <c r="A145" s="172"/>
      <c r="B145" s="159">
        <v>10</v>
      </c>
      <c r="C145" s="159">
        <v>144.02000000000001</v>
      </c>
      <c r="D145" s="159">
        <v>111.99</v>
      </c>
      <c r="E145" s="160">
        <v>7.2669999999999998E-2</v>
      </c>
      <c r="F145" s="160">
        <v>1.214E-4</v>
      </c>
      <c r="G145" s="159">
        <v>0.1671</v>
      </c>
      <c r="H145" s="159">
        <v>0.96</v>
      </c>
      <c r="I145" s="159">
        <v>473</v>
      </c>
      <c r="J145" s="220">
        <v>2.11</v>
      </c>
      <c r="K145" s="173"/>
      <c r="L145" s="174">
        <f t="shared" si="43"/>
        <v>1.3020355215505557</v>
      </c>
      <c r="M145" s="174">
        <f t="shared" si="44"/>
        <v>0.61707844623249086</v>
      </c>
      <c r="N145" s="174">
        <f t="shared" si="45"/>
        <v>0.32788154107433859</v>
      </c>
      <c r="O145" s="174">
        <f t="shared" si="26"/>
        <v>416.08167562333568</v>
      </c>
      <c r="P145" s="174">
        <f t="shared" si="27"/>
        <v>190.03483913444012</v>
      </c>
      <c r="Q145" s="175">
        <f t="shared" si="28"/>
        <v>190.03483913444012</v>
      </c>
      <c r="R145" s="176">
        <f t="shared" si="29"/>
        <v>35.104574849829255</v>
      </c>
      <c r="S145" s="177">
        <f t="shared" si="30"/>
        <v>579.58382930545838</v>
      </c>
      <c r="T145" s="177">
        <f t="shared" si="31"/>
        <v>107.06480985420956</v>
      </c>
      <c r="U145" s="167"/>
      <c r="V145" s="178">
        <f t="shared" si="46"/>
        <v>6.7746837331145643E-2</v>
      </c>
      <c r="W145" s="179">
        <f t="shared" si="47"/>
        <v>1.0550824945975828E-4</v>
      </c>
      <c r="X145" s="180">
        <f t="shared" si="32"/>
        <v>7.5565925722612212E-2</v>
      </c>
      <c r="Y145" s="180">
        <f t="shared" si="33"/>
        <v>2.9751005440674589E-4</v>
      </c>
      <c r="Z145" s="181">
        <f t="shared" si="34"/>
        <v>1.0496446578591898</v>
      </c>
      <c r="AA145" s="181">
        <f t="shared" si="35"/>
        <v>6.5994180847480155E-2</v>
      </c>
      <c r="AB145" s="181">
        <f t="shared" si="36"/>
        <v>-5.0901050665323758E-2</v>
      </c>
      <c r="AC145" s="181">
        <f t="shared" si="48"/>
        <v>7.0256898173716054E-2</v>
      </c>
      <c r="AD145" s="181">
        <f t="shared" si="49"/>
        <v>2.5717430628233883E-4</v>
      </c>
      <c r="AE145" s="267"/>
      <c r="AF145" s="182">
        <f t="shared" si="37"/>
        <v>0.45672484578838329</v>
      </c>
      <c r="AG145" s="182">
        <f t="shared" si="38"/>
        <v>2.3518875383990698E-2</v>
      </c>
      <c r="AH145" s="149">
        <f t="shared" si="39"/>
        <v>-7.5389056237427452</v>
      </c>
      <c r="AI145" s="149">
        <f t="shared" si="40"/>
        <v>9.7055283080540082</v>
      </c>
      <c r="AJ145" s="149">
        <f t="shared" si="41"/>
        <v>-2.2529436801652674</v>
      </c>
      <c r="AK145" s="149">
        <f t="shared" si="42"/>
        <v>-0.56323592004131684</v>
      </c>
      <c r="AL145" s="148">
        <f t="shared" si="50"/>
        <v>0.21158088872236086</v>
      </c>
    </row>
    <row r="146" spans="1:38" ht="21" customHeight="1" x14ac:dyDescent="0.3">
      <c r="A146" s="172"/>
      <c r="B146" s="159">
        <v>11</v>
      </c>
      <c r="C146" s="159">
        <v>161.38999999999999</v>
      </c>
      <c r="D146" s="159">
        <v>124.83</v>
      </c>
      <c r="E146" s="160">
        <v>7.3349999999999999E-2</v>
      </c>
      <c r="F146" s="160">
        <v>1.26E-4</v>
      </c>
      <c r="G146" s="159">
        <v>0.17180000000000001</v>
      </c>
      <c r="H146" s="159">
        <v>0.93</v>
      </c>
      <c r="I146" s="159">
        <v>446</v>
      </c>
      <c r="J146" s="220">
        <v>2.0499999999999998</v>
      </c>
      <c r="K146" s="173"/>
      <c r="L146" s="174">
        <f t="shared" si="43"/>
        <v>1.2482919754870594</v>
      </c>
      <c r="M146" s="174">
        <f t="shared" si="44"/>
        <v>0.60892291487173633</v>
      </c>
      <c r="N146" s="174">
        <f t="shared" si="45"/>
        <v>0.30441272911272638</v>
      </c>
      <c r="O146" s="174">
        <f t="shared" si="26"/>
        <v>386.29975324404978</v>
      </c>
      <c r="P146" s="174">
        <f t="shared" si="27"/>
        <v>179.11982401281389</v>
      </c>
      <c r="Q146" s="175">
        <f t="shared" si="28"/>
        <v>179.11982401281389</v>
      </c>
      <c r="R146" s="176">
        <f t="shared" si="29"/>
        <v>33.096513691402521</v>
      </c>
      <c r="S146" s="177">
        <f t="shared" si="30"/>
        <v>588.41108430286579</v>
      </c>
      <c r="T146" s="177">
        <f t="shared" si="31"/>
        <v>108.72250246521928</v>
      </c>
      <c r="U146" s="167"/>
      <c r="V146" s="178">
        <f t="shared" si="46"/>
        <v>6.8337448176270549E-2</v>
      </c>
      <c r="W146" s="179">
        <f t="shared" si="47"/>
        <v>1.0936738391930863E-4</v>
      </c>
      <c r="X146" s="180">
        <f t="shared" si="32"/>
        <v>7.6279705274767809E-2</v>
      </c>
      <c r="Y146" s="180">
        <f t="shared" si="33"/>
        <v>3.0234814558969755E-4</v>
      </c>
      <c r="Z146" s="181">
        <f t="shared" si="34"/>
        <v>1.0497069670525832</v>
      </c>
      <c r="AA146" s="181">
        <f t="shared" si="35"/>
        <v>6.6765952173294452E-2</v>
      </c>
      <c r="AB146" s="181">
        <f t="shared" si="36"/>
        <v>-5.0968632175399001E-2</v>
      </c>
      <c r="AC146" s="181">
        <f t="shared" si="48"/>
        <v>7.0873495896026442E-2</v>
      </c>
      <c r="AD146" s="181">
        <f t="shared" si="49"/>
        <v>2.6100991606299757E-4</v>
      </c>
      <c r="AE146" s="267"/>
      <c r="AF146" s="182">
        <f t="shared" si="37"/>
        <v>0.46368091749634816</v>
      </c>
      <c r="AG146" s="182">
        <f t="shared" si="38"/>
        <v>2.3953457933028374E-2</v>
      </c>
      <c r="AH146" s="149">
        <f t="shared" si="39"/>
        <v>-7.5749049878436256</v>
      </c>
      <c r="AI146" s="149">
        <f t="shared" si="40"/>
        <v>9.7854480398221355</v>
      </c>
      <c r="AJ146" s="149">
        <f t="shared" si="41"/>
        <v>-2.2981787453853233</v>
      </c>
      <c r="AK146" s="149">
        <f t="shared" si="42"/>
        <v>-0.57454468634633082</v>
      </c>
      <c r="AL146" s="148">
        <f t="shared" si="50"/>
        <v>0.21853696043032572</v>
      </c>
    </row>
    <row r="147" spans="1:38" ht="21" customHeight="1" x14ac:dyDescent="0.3">
      <c r="A147" s="172"/>
      <c r="B147" s="159">
        <v>22</v>
      </c>
      <c r="C147" s="159">
        <v>230.35</v>
      </c>
      <c r="D147" s="159">
        <v>339.33</v>
      </c>
      <c r="E147" s="160">
        <v>1.247E-2</v>
      </c>
      <c r="F147" s="160">
        <v>3.6659999999999998E-5</v>
      </c>
      <c r="G147" s="159">
        <v>0.29389999999999999</v>
      </c>
      <c r="H147" s="159">
        <v>1.19</v>
      </c>
      <c r="I147" s="159">
        <v>724</v>
      </c>
      <c r="J147" s="220">
        <v>2.08</v>
      </c>
      <c r="K147" s="173"/>
      <c r="L147" s="174">
        <f t="shared" si="43"/>
        <v>1.6006887046621143</v>
      </c>
      <c r="M147" s="174">
        <f t="shared" si="44"/>
        <v>0.76956187724140102</v>
      </c>
      <c r="N147" s="174">
        <f t="shared" si="45"/>
        <v>0.62521667107364187</v>
      </c>
      <c r="O147" s="174">
        <f t="shared" si="26"/>
        <v>793.39995559245153</v>
      </c>
      <c r="P147" s="174">
        <f t="shared" si="27"/>
        <v>5.867794769909759</v>
      </c>
      <c r="Q147" s="175">
        <f t="shared" si="28"/>
        <v>5.867794769909759</v>
      </c>
      <c r="R147" s="176">
        <f t="shared" si="29"/>
        <v>4.4121326071737101</v>
      </c>
      <c r="S147" s="177">
        <f t="shared" si="30"/>
        <v>9.3852180234308147</v>
      </c>
      <c r="T147" s="177">
        <f t="shared" si="31"/>
        <v>7.0569657069397342</v>
      </c>
      <c r="U147" s="167"/>
      <c r="V147" s="178">
        <f t="shared" si="46"/>
        <v>1.2316414313510524E-2</v>
      </c>
      <c r="W147" s="179">
        <f t="shared" si="47"/>
        <v>3.5762521606829534E-5</v>
      </c>
      <c r="X147" s="180">
        <f t="shared" si="32"/>
        <v>1.2542912328129157E-2</v>
      </c>
      <c r="Y147" s="180">
        <f t="shared" si="33"/>
        <v>5.9532887076128887E-5</v>
      </c>
      <c r="Z147" s="181">
        <f t="shared" si="34"/>
        <v>1.0441503712928746</v>
      </c>
      <c r="AA147" s="181">
        <f t="shared" si="35"/>
        <v>1.6572177013667129E-3</v>
      </c>
      <c r="AB147" s="181">
        <f t="shared" si="36"/>
        <v>-4.5110698569460886E-2</v>
      </c>
      <c r="AC147" s="181">
        <f t="shared" si="48"/>
        <v>1.2387536543304987E-2</v>
      </c>
      <c r="AD147" s="181">
        <f t="shared" si="49"/>
        <v>5.8067090832483548E-5</v>
      </c>
      <c r="AE147" s="267"/>
      <c r="AF147" s="182">
        <f t="shared" si="37"/>
        <v>7.3957588837122263E-3</v>
      </c>
      <c r="AG147" s="182">
        <f t="shared" si="38"/>
        <v>5.4040508020929395E-3</v>
      </c>
      <c r="AH147" s="149">
        <f t="shared" si="39"/>
        <v>-5.2135182384925676</v>
      </c>
      <c r="AI147" s="149">
        <f t="shared" si="40"/>
        <v>5.237349497869018</v>
      </c>
      <c r="AJ147" s="149">
        <f t="shared" si="41"/>
        <v>-2.5229057805471269E-2</v>
      </c>
      <c r="AK147" s="149">
        <f t="shared" si="42"/>
        <v>-6.3072644513678172E-3</v>
      </c>
      <c r="AL147" s="148">
        <f t="shared" si="50"/>
        <v>0.23774819818231022</v>
      </c>
    </row>
    <row r="148" spans="1:38" ht="21" customHeight="1" x14ac:dyDescent="0.3">
      <c r="A148" s="172"/>
      <c r="B148" s="159">
        <v>21</v>
      </c>
      <c r="C148" s="159">
        <v>216.46</v>
      </c>
      <c r="D148" s="159">
        <v>112.67</v>
      </c>
      <c r="E148" s="160">
        <v>1.736E-2</v>
      </c>
      <c r="F148" s="160">
        <v>8.488E-5</v>
      </c>
      <c r="G148" s="159">
        <v>0.48880000000000001</v>
      </c>
      <c r="H148" s="159">
        <v>0.66</v>
      </c>
      <c r="I148" s="159">
        <v>227</v>
      </c>
      <c r="J148" s="220">
        <v>1.22</v>
      </c>
      <c r="K148" s="173"/>
      <c r="L148" s="174">
        <f t="shared" si="43"/>
        <v>0.71608363744612147</v>
      </c>
      <c r="M148" s="174">
        <f t="shared" si="44"/>
        <v>0.58695380118534546</v>
      </c>
      <c r="N148" s="174">
        <f t="shared" si="45"/>
        <v>0.14081924833398962</v>
      </c>
      <c r="O148" s="174">
        <f t="shared" si="26"/>
        <v>178.69962613583283</v>
      </c>
      <c r="P148" s="174">
        <f t="shared" si="27"/>
        <v>6.2063635870855745</v>
      </c>
      <c r="Q148" s="175">
        <f t="shared" si="28"/>
        <v>6.2063635870855745</v>
      </c>
      <c r="R148" s="176">
        <f t="shared" si="29"/>
        <v>1.4986989030423679</v>
      </c>
      <c r="S148" s="177">
        <f t="shared" si="30"/>
        <v>44.073261720340696</v>
      </c>
      <c r="T148" s="177">
        <f t="shared" si="31"/>
        <v>10.642713412926422</v>
      </c>
      <c r="U148" s="167"/>
      <c r="V148" s="178">
        <f t="shared" si="46"/>
        <v>1.7063772902414093E-2</v>
      </c>
      <c r="W148" s="179">
        <f t="shared" si="47"/>
        <v>8.2007968620786229E-5</v>
      </c>
      <c r="X148" s="180">
        <f t="shared" si="32"/>
        <v>1.7649894783023968E-2</v>
      </c>
      <c r="Y148" s="180">
        <f t="shared" si="33"/>
        <v>1.0311545867027921E-4</v>
      </c>
      <c r="Z148" s="181">
        <f t="shared" si="34"/>
        <v>1.0445950563679873</v>
      </c>
      <c r="AA148" s="181">
        <f t="shared" si="35"/>
        <v>6.5903951815234245E-3</v>
      </c>
      <c r="AB148" s="181">
        <f t="shared" si="36"/>
        <v>-4.556689756748359E-2</v>
      </c>
      <c r="AC148" s="181">
        <f t="shared" si="48"/>
        <v>1.7343778910120317E-2</v>
      </c>
      <c r="AD148" s="181">
        <f t="shared" si="49"/>
        <v>9.9569653052920018E-5</v>
      </c>
      <c r="AE148" s="267"/>
      <c r="AF148" s="182">
        <f t="shared" si="37"/>
        <v>3.4730702695303935E-2</v>
      </c>
      <c r="AG148" s="182">
        <f t="shared" si="38"/>
        <v>5.6898105891920424E-3</v>
      </c>
      <c r="AH148" s="149">
        <f t="shared" si="39"/>
        <v>-5.3549832256668424</v>
      </c>
      <c r="AI148" s="149">
        <f t="shared" si="40"/>
        <v>5.4701102954458376</v>
      </c>
      <c r="AJ148" s="149">
        <f t="shared" si="41"/>
        <v>-0.12169117258840559</v>
      </c>
      <c r="AK148" s="149">
        <f t="shared" si="42"/>
        <v>-3.0422793147101397E-2</v>
      </c>
      <c r="AL148" s="148">
        <f t="shared" si="50"/>
        <v>0.21041325437071851</v>
      </c>
    </row>
    <row r="149" spans="1:38" ht="21" customHeight="1" x14ac:dyDescent="0.3">
      <c r="A149" s="172"/>
      <c r="B149" s="159">
        <v>20</v>
      </c>
      <c r="C149" s="159">
        <v>211.22</v>
      </c>
      <c r="D149" s="159">
        <v>389.03</v>
      </c>
      <c r="E149" s="160">
        <v>1.4500000000000001E-2</v>
      </c>
      <c r="F149" s="160">
        <v>6.8349999999999994E-5</v>
      </c>
      <c r="G149" s="159">
        <v>0.4713</v>
      </c>
      <c r="H149" s="159">
        <v>0.75</v>
      </c>
      <c r="I149" s="159">
        <v>290</v>
      </c>
      <c r="J149" s="220">
        <v>2.0299999999999998</v>
      </c>
      <c r="K149" s="173"/>
      <c r="L149" s="174">
        <f t="shared" si="43"/>
        <v>1.002233985979651</v>
      </c>
      <c r="M149" s="174">
        <f t="shared" si="44"/>
        <v>0.49371132314268529</v>
      </c>
      <c r="N149" s="174">
        <f t="shared" si="45"/>
        <v>0.16036355388958934</v>
      </c>
      <c r="O149" s="174">
        <f t="shared" ref="O149:O174" si="51">$M$12*N149</f>
        <v>203.50134988588886</v>
      </c>
      <c r="P149" s="174">
        <f t="shared" ref="P149:P174" si="52">O149*AF149</f>
        <v>3.7847103479092947</v>
      </c>
      <c r="Q149" s="175">
        <f t="shared" ref="Q149:Q174" si="53">P149/$M$15</f>
        <v>3.7847103479092947</v>
      </c>
      <c r="R149" s="176">
        <f t="shared" ref="R149:R174" si="54">SQRT(SUMSQ($M$13*N149*AF149/$M$15,AG149*$M$12*N149/$M$15,$M$16*$M$12*N149*AF149/($M$15*$M$15)))</f>
        <v>1.3059506145322621</v>
      </c>
      <c r="S149" s="177">
        <f t="shared" ref="S149:S174" si="55">$M$12*AF149/$M$15</f>
        <v>23.600813626985818</v>
      </c>
      <c r="T149" s="177">
        <f t="shared" ref="T149:T174" si="56">SQRT(SUMSQ($M$13*AF149/$M$15,AG149*$M$12/$M$15,$M$16*$M$12*AF149/($M$15*$M$15)))</f>
        <v>8.1436871586882642</v>
      </c>
      <c r="U149" s="167"/>
      <c r="V149" s="178">
        <f t="shared" si="46"/>
        <v>1.4292755051749631E-2</v>
      </c>
      <c r="W149" s="179">
        <f t="shared" si="47"/>
        <v>6.6410143117016173E-5</v>
      </c>
      <c r="X149" s="180">
        <f t="shared" ref="X149:X174" si="57">(E149+$AB$15*(E149-$AB$12*(E149+1)))/(1-$AB$15*(E149-$AB$12*(E149+1)))</f>
        <v>1.466272491104725E-2</v>
      </c>
      <c r="Y149" s="180">
        <f t="shared" ref="Y149:Y174" si="58">SQRT(SUMSQ(Z149*F149, AA149*$AB$16, AB149*$AB$13))</f>
        <v>8.5826129361041194E-5</v>
      </c>
      <c r="Z149" s="181">
        <f t="shared" ref="Z149:Z174" si="59">((1+$AB$15-$AB$15*$AB$12)*(1-$AB$15*(E149-$AB$12*(E149+1)))-(E149+$AB$15*(E149-$AB$12*(E149+1)))*($AB$15*$AB$12-$AB$15))/((1-$AB$15*(E149-$AB$12*(E149+1)))*(1-$AB$15*(E149-$AB$12*(E149+1))))</f>
        <v>1.0443349402303017</v>
      </c>
      <c r="AA149" s="181">
        <f t="shared" ref="AA149:AA174" si="60">(E149+1)*(E149-E149*$AB$12-$AB$12)/((1-$AB$15*(E149-$AB$12*(E149+1)))*(1-$AB$15*(E149-$AB$12*(E149+1))))</f>
        <v>3.6988866359180484E-3</v>
      </c>
      <c r="AB149" s="181">
        <f t="shared" ref="AB149:AB174" si="61">(-$AB$15*(E149+1)*(E149+1))/((1-$AB$15*(E149-$AB$12*(E149+1)))*(1-$AB$15*(E149-$AB$12*(E149+1))))</f>
        <v>-4.5299779594252104E-2</v>
      </c>
      <c r="AC149" s="181">
        <f t="shared" si="48"/>
        <v>1.4450836274026616E-2</v>
      </c>
      <c r="AD149" s="181">
        <f t="shared" si="49"/>
        <v>8.3363533458890771E-5</v>
      </c>
      <c r="AE149" s="267"/>
      <c r="AF149" s="182">
        <f t="shared" ref="AF149:AF174" si="62">($AM$15-X149)/(($AM$15+1)*(X149-($AM$12/($AM$12+$AK$9))*(X149+1)))</f>
        <v>1.8597961880997493E-2</v>
      </c>
      <c r="AG149" s="182">
        <f t="shared" ref="AG149:AG174" si="63">SQRT(SUMSQ(AH149*$AM$16, AI149*Y149,AJ149*$AM$13,AK149*$AK$10))</f>
        <v>5.5042972833724262E-3</v>
      </c>
      <c r="AH149" s="149">
        <f t="shared" ref="AH149:AH174" si="64">(1+X149)/(POWER(($AM$15+1),2)*(X149-($AM$12/($AM$12+$AK$9))*(X149+1)))</f>
        <v>-5.2714923654656243</v>
      </c>
      <c r="AI149" s="149">
        <f t="shared" ref="AI149:AI174" si="65">(($AM$12/($AM$12+$AK$9))*(1+$AM$15)-$AM$15)/(($AM$15+1)*POWER((X149-($AM$12/($AM$12+$AK$9))*(X149+1)),2))</f>
        <v>5.3321258241249296</v>
      </c>
      <c r="AJ149" s="149">
        <f t="shared" ref="AJ149:AJ174" si="66">(1/$AK$9)*($AM$15*$AM$15*X149-$AM$15*X149*X149+$AM$15*$AM$15-X149*X149+$AM$15-X149)/POWER(($AM$15+1)*(X149-($AM$12/($AM$12+$AK$9))*(X149+1))*(($AM$12/$AK$9)+1),2)</f>
        <v>-6.4148473454813212E-2</v>
      </c>
      <c r="AK149" s="149">
        <f t="shared" ref="AK149:AK174" si="67">$AM$12*($AM$15*$AM$15*X149-$AM$15*X149*X149+$AM$15*$AM$15-X149*X149+$AM$15-X149)/POWER(($AM$15+1)*(X149-($AM$12/($AM$12+$AK$9))*(X149+1))*(($AM$12/$AK$9)+1),2)</f>
        <v>-1.6037118363703303E-2</v>
      </c>
      <c r="AL149" s="148">
        <f t="shared" si="50"/>
        <v>0.22654599518502494</v>
      </c>
    </row>
    <row r="150" spans="1:38" ht="21" customHeight="1" x14ac:dyDescent="0.3">
      <c r="A150" s="172"/>
      <c r="B150" s="159">
        <v>15</v>
      </c>
      <c r="C150" s="159">
        <v>194.03</v>
      </c>
      <c r="D150" s="159">
        <v>107.93</v>
      </c>
      <c r="E150" s="160">
        <v>7.281E-2</v>
      </c>
      <c r="F150" s="160">
        <v>1.1629999999999999E-4</v>
      </c>
      <c r="G150" s="159">
        <v>0.15970000000000001</v>
      </c>
      <c r="H150" s="159">
        <v>1</v>
      </c>
      <c r="I150" s="159">
        <v>516</v>
      </c>
      <c r="J150" s="220">
        <v>1.79</v>
      </c>
      <c r="K150" s="173"/>
      <c r="L150" s="174">
        <f t="shared" ref="L150:L174" si="68">J150*SQRT(I150/(J150-1+PI()/4))*$D$15/$D$16</f>
        <v>1.2654434699375947</v>
      </c>
      <c r="M150" s="174">
        <f t="shared" ref="M150:M174" si="69">SQRT(I150/(J150-1+PI()/4))*$D$15/$D$16</f>
        <v>0.70695165918301384</v>
      </c>
      <c r="N150" s="174">
        <f t="shared" ref="N150:N174" si="70">0.5*PI()*M150*M150*(M150/3+(L150-M150)/2)</f>
        <v>0.40422132179661646</v>
      </c>
      <c r="O150" s="174">
        <f t="shared" si="51"/>
        <v>512.95685735990628</v>
      </c>
      <c r="P150" s="174">
        <f t="shared" si="52"/>
        <v>235.01235726817291</v>
      </c>
      <c r="Q150" s="175">
        <f t="shared" si="53"/>
        <v>235.01235726817291</v>
      </c>
      <c r="R150" s="176">
        <f t="shared" si="54"/>
        <v>43.414883164035686</v>
      </c>
      <c r="S150" s="177">
        <f t="shared" si="55"/>
        <v>581.39525204565814</v>
      </c>
      <c r="T150" s="177">
        <f t="shared" si="56"/>
        <v>107.40374350138769</v>
      </c>
      <c r="U150" s="167"/>
      <c r="V150" s="178">
        <f t="shared" ref="V150:V174" si="71">E150/(E150+1)</f>
        <v>6.7868494887258699E-2</v>
      </c>
      <c r="W150" s="179">
        <f t="shared" ref="W150:W174" si="72">ABS(F150/((E150+1)*(E150+1)))</f>
        <v>1.0104948131040146E-4</v>
      </c>
      <c r="X150" s="180">
        <f t="shared" si="57"/>
        <v>7.571287687266344E-2</v>
      </c>
      <c r="Y150" s="180">
        <f t="shared" si="58"/>
        <v>2.9582794565986327E-4</v>
      </c>
      <c r="Z150" s="181">
        <f t="shared" si="59"/>
        <v>1.049657485769002</v>
      </c>
      <c r="AA150" s="181">
        <f t="shared" si="60"/>
        <v>6.6152992267119876E-2</v>
      </c>
      <c r="AB150" s="181">
        <f t="shared" si="61"/>
        <v>-5.0914960512665121E-2</v>
      </c>
      <c r="AC150" s="181">
        <f t="shared" ref="AC150:AC174" si="73">X150/(X150+1)</f>
        <v>7.0383908662298086E-2</v>
      </c>
      <c r="AD150" s="181">
        <f t="shared" ref="AD150:AD174" si="74">Y150/((X150+1)*(X150+1))</f>
        <v>2.5565039190781936E-4</v>
      </c>
      <c r="AE150" s="267"/>
      <c r="AF150" s="182">
        <f t="shared" si="62"/>
        <v>0.45815228687601112</v>
      </c>
      <c r="AG150" s="182">
        <f t="shared" si="63"/>
        <v>2.3604575635898316E-2</v>
      </c>
      <c r="AH150" s="149">
        <f t="shared" si="64"/>
        <v>-7.5462929787907429</v>
      </c>
      <c r="AI150" s="149">
        <f t="shared" si="65"/>
        <v>9.7219017473715343</v>
      </c>
      <c r="AJ150" s="149">
        <f t="shared" si="66"/>
        <v>-2.2621995508003545</v>
      </c>
      <c r="AK150" s="149">
        <f t="shared" si="67"/>
        <v>-0.56554988770008863</v>
      </c>
      <c r="AL150" s="148">
        <f t="shared" ref="AL150:AL174" si="75">ABS(AF150-$AF$18)</f>
        <v>0.21300832980998868</v>
      </c>
    </row>
    <row r="151" spans="1:38" ht="21" customHeight="1" x14ac:dyDescent="0.3">
      <c r="A151" s="172"/>
      <c r="B151" s="159">
        <v>17</v>
      </c>
      <c r="C151" s="159">
        <v>201.64</v>
      </c>
      <c r="D151" s="159">
        <v>133.84</v>
      </c>
      <c r="E151" s="160">
        <v>8.0670000000000006E-2</v>
      </c>
      <c r="F151" s="160">
        <v>1.088E-4</v>
      </c>
      <c r="G151" s="159">
        <v>0.13489999999999999</v>
      </c>
      <c r="H151" s="159">
        <v>1.1100000000000001</v>
      </c>
      <c r="I151" s="159">
        <v>629</v>
      </c>
      <c r="J151" s="220">
        <v>1.95</v>
      </c>
      <c r="K151" s="173"/>
      <c r="L151" s="174">
        <f t="shared" si="68"/>
        <v>1.4501749602725231</v>
      </c>
      <c r="M151" s="174">
        <f t="shared" si="69"/>
        <v>0.74367946680642216</v>
      </c>
      <c r="N151" s="174">
        <f t="shared" si="70"/>
        <v>0.52223711941626227</v>
      </c>
      <c r="O151" s="174">
        <f t="shared" si="51"/>
        <v>662.71890453923686</v>
      </c>
      <c r="P151" s="174">
        <f t="shared" si="52"/>
        <v>359.44338461932034</v>
      </c>
      <c r="Q151" s="175">
        <f t="shared" si="53"/>
        <v>359.44338461932034</v>
      </c>
      <c r="R151" s="176">
        <f t="shared" si="54"/>
        <v>66.615141815443693</v>
      </c>
      <c r="S151" s="177">
        <f t="shared" si="55"/>
        <v>688.27620874803597</v>
      </c>
      <c r="T151" s="177">
        <f t="shared" si="56"/>
        <v>127.55727109153727</v>
      </c>
      <c r="U151" s="167"/>
      <c r="V151" s="178">
        <f t="shared" si="71"/>
        <v>7.4648134953316E-2</v>
      </c>
      <c r="W151" s="179">
        <f t="shared" si="72"/>
        <v>9.3162836867016955E-5</v>
      </c>
      <c r="X151" s="180">
        <f t="shared" si="57"/>
        <v>8.3966016076440469E-2</v>
      </c>
      <c r="Y151" s="180">
        <f t="shared" si="58"/>
        <v>3.2567517408514738E-4</v>
      </c>
      <c r="Z151" s="181">
        <f t="shared" si="59"/>
        <v>1.0503780586623828</v>
      </c>
      <c r="AA151" s="181">
        <f t="shared" si="60"/>
        <v>7.5137928223464739E-2</v>
      </c>
      <c r="AB151" s="181">
        <f t="shared" si="61"/>
        <v>-5.1699222256379712E-2</v>
      </c>
      <c r="AC151" s="181">
        <f t="shared" si="73"/>
        <v>7.7461852891261909E-2</v>
      </c>
      <c r="AD151" s="181">
        <f t="shared" si="74"/>
        <v>2.7717453057000659E-4</v>
      </c>
      <c r="AE151" s="267"/>
      <c r="AF151" s="182">
        <f t="shared" si="62"/>
        <v>0.5423768390449456</v>
      </c>
      <c r="AG151" s="182">
        <f t="shared" si="63"/>
        <v>2.9078212535702395E-2</v>
      </c>
      <c r="AH151" s="149">
        <f t="shared" si="64"/>
        <v>-7.9821755353623329</v>
      </c>
      <c r="AI151" s="149">
        <f t="shared" si="65"/>
        <v>10.712426438335713</v>
      </c>
      <c r="AJ151" s="149">
        <f t="shared" si="66"/>
        <v>-2.8327601255528716</v>
      </c>
      <c r="AK151" s="149">
        <f t="shared" si="67"/>
        <v>-0.7081900313882179</v>
      </c>
      <c r="AL151" s="148">
        <f t="shared" si="75"/>
        <v>0.29723288197892317</v>
      </c>
    </row>
    <row r="152" spans="1:38" ht="21" customHeight="1" x14ac:dyDescent="0.3">
      <c r="A152" s="172"/>
      <c r="B152" s="159">
        <v>29</v>
      </c>
      <c r="C152" s="159">
        <v>300.45</v>
      </c>
      <c r="D152" s="159">
        <v>167.81</v>
      </c>
      <c r="E152" s="160">
        <v>0.1115</v>
      </c>
      <c r="F152" s="160">
        <v>1.3579999999999999E-4</v>
      </c>
      <c r="G152" s="159">
        <v>0.12180000000000001</v>
      </c>
      <c r="H152" s="159">
        <v>1.02</v>
      </c>
      <c r="I152" s="159">
        <v>537</v>
      </c>
      <c r="J152" s="220">
        <v>2.0099999999999998</v>
      </c>
      <c r="K152" s="173"/>
      <c r="L152" s="174">
        <f t="shared" si="68"/>
        <v>1.3578845491165681</v>
      </c>
      <c r="M152" s="174">
        <f t="shared" si="69"/>
        <v>0.67556445229680018</v>
      </c>
      <c r="N152" s="174">
        <f t="shared" si="70"/>
        <v>0.40601023286109028</v>
      </c>
      <c r="O152" s="174">
        <f t="shared" si="51"/>
        <v>515.22698550072357</v>
      </c>
      <c r="P152" s="174">
        <f t="shared" si="52"/>
        <v>501.85897738016911</v>
      </c>
      <c r="Q152" s="175">
        <f t="shared" si="53"/>
        <v>501.85897738016911</v>
      </c>
      <c r="R152" s="176">
        <f t="shared" si="54"/>
        <v>95.109534306037872</v>
      </c>
      <c r="S152" s="177">
        <f t="shared" si="55"/>
        <v>1236.074701476482</v>
      </c>
      <c r="T152" s="177">
        <f t="shared" si="56"/>
        <v>234.25403255434216</v>
      </c>
      <c r="U152" s="167"/>
      <c r="V152" s="178">
        <f t="shared" si="71"/>
        <v>0.100314889788574</v>
      </c>
      <c r="W152" s="179">
        <f t="shared" si="72"/>
        <v>1.099210418054086E-4</v>
      </c>
      <c r="X152" s="180">
        <f t="shared" si="57"/>
        <v>0.11639282129295901</v>
      </c>
      <c r="Y152" s="180">
        <f t="shared" si="58"/>
        <v>4.7229038594991395E-4</v>
      </c>
      <c r="Z152" s="181">
        <f t="shared" si="59"/>
        <v>1.0532116029977108</v>
      </c>
      <c r="AA152" s="181">
        <f t="shared" si="60"/>
        <v>0.11168998829036883</v>
      </c>
      <c r="AB152" s="181">
        <f t="shared" si="61"/>
        <v>-5.4838648983115905E-2</v>
      </c>
      <c r="AC152" s="181">
        <f t="shared" si="73"/>
        <v>0.10425794493927125</v>
      </c>
      <c r="AD152" s="181">
        <f t="shared" si="74"/>
        <v>3.7894399966334572E-4</v>
      </c>
      <c r="AE152" s="267"/>
      <c r="AF152" s="182">
        <f t="shared" si="62"/>
        <v>0.97405413827933962</v>
      </c>
      <c r="AG152" s="182">
        <f t="shared" si="63"/>
        <v>6.4928915788056457E-2</v>
      </c>
      <c r="AH152" s="149">
        <f t="shared" si="64"/>
        <v>-10.216210623216536</v>
      </c>
      <c r="AI152" s="149">
        <f t="shared" si="65"/>
        <v>16.54330373314632</v>
      </c>
      <c r="AJ152" s="149">
        <f t="shared" si="66"/>
        <v>-6.5111893420645801</v>
      </c>
      <c r="AK152" s="149">
        <f t="shared" si="67"/>
        <v>-1.627797335516145</v>
      </c>
      <c r="AL152" s="148">
        <f t="shared" si="75"/>
        <v>0.72891018121331719</v>
      </c>
    </row>
    <row r="153" spans="1:38" ht="21" customHeight="1" x14ac:dyDescent="0.3">
      <c r="A153" s="172"/>
      <c r="B153" s="159">
        <v>35</v>
      </c>
      <c r="C153" s="159">
        <v>416.28</v>
      </c>
      <c r="D153" s="159">
        <v>470.33</v>
      </c>
      <c r="E153" s="160">
        <v>4.793E-2</v>
      </c>
      <c r="F153" s="160">
        <v>1.02E-4</v>
      </c>
      <c r="G153" s="159">
        <v>0.21279999999999999</v>
      </c>
      <c r="H153" s="159">
        <v>0.83</v>
      </c>
      <c r="I153" s="159">
        <v>354</v>
      </c>
      <c r="J153" s="220">
        <v>1.96</v>
      </c>
      <c r="K153" s="173"/>
      <c r="L153" s="174">
        <f t="shared" si="68"/>
        <v>1.0903614279751326</v>
      </c>
      <c r="M153" s="174">
        <f t="shared" si="69"/>
        <v>0.5563068510077207</v>
      </c>
      <c r="N153" s="174">
        <f t="shared" si="70"/>
        <v>0.21995390351320621</v>
      </c>
      <c r="O153" s="174">
        <f t="shared" si="51"/>
        <v>279.12150355825867</v>
      </c>
      <c r="P153" s="174">
        <f t="shared" si="52"/>
        <v>66.306563215295185</v>
      </c>
      <c r="Q153" s="175">
        <f t="shared" si="53"/>
        <v>66.306563215295185</v>
      </c>
      <c r="R153" s="176">
        <f t="shared" si="54"/>
        <v>12.219134540427291</v>
      </c>
      <c r="S153" s="177">
        <f t="shared" si="55"/>
        <v>301.45663321366828</v>
      </c>
      <c r="T153" s="177">
        <f t="shared" si="56"/>
        <v>55.553160663473484</v>
      </c>
      <c r="U153" s="167"/>
      <c r="V153" s="178">
        <f t="shared" si="71"/>
        <v>4.5737787829339745E-2</v>
      </c>
      <c r="W153" s="179">
        <f t="shared" si="72"/>
        <v>9.2882869696837898E-5</v>
      </c>
      <c r="X153" s="180">
        <f t="shared" si="57"/>
        <v>4.9625727626361589E-2</v>
      </c>
      <c r="Y153" s="180">
        <f t="shared" si="58"/>
        <v>1.9391881643908497E-4</v>
      </c>
      <c r="Z153" s="181">
        <f t="shared" si="59"/>
        <v>1.0473814701289303</v>
      </c>
      <c r="AA153" s="181">
        <f t="shared" si="60"/>
        <v>3.8601627270296077E-2</v>
      </c>
      <c r="AB153" s="181">
        <f t="shared" si="61"/>
        <v>-4.8475423396187434E-2</v>
      </c>
      <c r="AC153" s="181">
        <f t="shared" si="73"/>
        <v>4.7279450493830699E-2</v>
      </c>
      <c r="AD153" s="181">
        <f t="shared" si="74"/>
        <v>1.7601554201155894E-4</v>
      </c>
      <c r="AE153" s="267"/>
      <c r="AF153" s="182">
        <f t="shared" si="62"/>
        <v>0.23755447849776856</v>
      </c>
      <c r="AG153" s="182">
        <f t="shared" si="63"/>
        <v>1.1848297262894367E-2</v>
      </c>
      <c r="AH153" s="149">
        <f t="shared" si="64"/>
        <v>-6.4046456299614585</v>
      </c>
      <c r="AI153" s="149">
        <f t="shared" si="65"/>
        <v>7.3552580430563514</v>
      </c>
      <c r="AJ153" s="149">
        <f t="shared" si="66"/>
        <v>-0.99551020953097236</v>
      </c>
      <c r="AK153" s="149">
        <f t="shared" si="67"/>
        <v>-0.24887755238274309</v>
      </c>
      <c r="AL153" s="148">
        <f t="shared" si="75"/>
        <v>7.5894785682538712E-3</v>
      </c>
    </row>
    <row r="154" spans="1:38" ht="21" customHeight="1" x14ac:dyDescent="0.3">
      <c r="A154" s="172"/>
      <c r="B154" s="159">
        <v>19</v>
      </c>
      <c r="C154" s="159">
        <v>209</v>
      </c>
      <c r="D154" s="159">
        <v>347.35</v>
      </c>
      <c r="E154" s="160">
        <v>1.443E-2</v>
      </c>
      <c r="F154" s="160">
        <v>4.244E-5</v>
      </c>
      <c r="G154" s="159">
        <v>0.29409999999999997</v>
      </c>
      <c r="H154" s="159">
        <v>1.1100000000000001</v>
      </c>
      <c r="I154" s="159">
        <v>635</v>
      </c>
      <c r="J154" s="220">
        <v>2.04</v>
      </c>
      <c r="K154" s="173"/>
      <c r="L154" s="174">
        <f t="shared" si="68"/>
        <v>1.486271876739286</v>
      </c>
      <c r="M154" s="174">
        <f t="shared" si="69"/>
        <v>0.72856464546043431</v>
      </c>
      <c r="N154" s="174">
        <f t="shared" si="70"/>
        <v>0.51837358844930359</v>
      </c>
      <c r="O154" s="174">
        <f t="shared" si="51"/>
        <v>657.81608374216626</v>
      </c>
      <c r="P154" s="174">
        <f t="shared" si="52"/>
        <v>11.977704271569348</v>
      </c>
      <c r="Q154" s="175">
        <f t="shared" si="53"/>
        <v>11.977704271569348</v>
      </c>
      <c r="R154" s="176">
        <f t="shared" si="54"/>
        <v>4.1916362397607774</v>
      </c>
      <c r="S154" s="177">
        <f t="shared" si="55"/>
        <v>23.106316638160965</v>
      </c>
      <c r="T154" s="177">
        <f t="shared" si="56"/>
        <v>8.0861300289235611</v>
      </c>
      <c r="U154" s="167"/>
      <c r="V154" s="178">
        <f t="shared" si="71"/>
        <v>1.4224737044448607E-2</v>
      </c>
      <c r="W154" s="179">
        <f t="shared" si="72"/>
        <v>4.1241191762697878E-5</v>
      </c>
      <c r="X154" s="180">
        <f t="shared" si="57"/>
        <v>1.4589621688015593E-2</v>
      </c>
      <c r="Y154" s="180">
        <f t="shared" si="58"/>
        <v>6.5011491103812203E-5</v>
      </c>
      <c r="Z154" s="181">
        <f t="shared" si="59"/>
        <v>1.0443285749695486</v>
      </c>
      <c r="AA154" s="181">
        <f t="shared" si="60"/>
        <v>3.6283364696731626E-3</v>
      </c>
      <c r="AB154" s="181">
        <f t="shared" si="61"/>
        <v>-4.5293252419229331E-2</v>
      </c>
      <c r="AC154" s="181">
        <f t="shared" si="73"/>
        <v>1.4379825474404343E-2</v>
      </c>
      <c r="AD154" s="181">
        <f t="shared" si="74"/>
        <v>6.3155226347872128E-5</v>
      </c>
      <c r="AE154" s="267"/>
      <c r="AF154" s="182">
        <f t="shared" si="62"/>
        <v>1.8208287342916442E-2</v>
      </c>
      <c r="AG154" s="182">
        <f t="shared" si="63"/>
        <v>5.4925948143640033E-3</v>
      </c>
      <c r="AH154" s="149">
        <f t="shared" si="64"/>
        <v>-5.2694757048896328</v>
      </c>
      <c r="AI154" s="149">
        <f t="shared" si="65"/>
        <v>5.3288147121551672</v>
      </c>
      <c r="AJ154" s="149">
        <f t="shared" si="66"/>
        <v>-6.2780373573345705E-2</v>
      </c>
      <c r="AK154" s="149">
        <f t="shared" si="67"/>
        <v>-1.5695093393336426E-2</v>
      </c>
      <c r="AL154" s="148">
        <f t="shared" si="75"/>
        <v>0.226935669723106</v>
      </c>
    </row>
    <row r="155" spans="1:38" ht="21" customHeight="1" x14ac:dyDescent="0.3">
      <c r="A155" s="172"/>
      <c r="B155" s="159">
        <v>26</v>
      </c>
      <c r="C155" s="159">
        <v>272.01</v>
      </c>
      <c r="D155" s="159">
        <v>154.25</v>
      </c>
      <c r="E155" s="160">
        <v>1.2959999999999999E-2</v>
      </c>
      <c r="F155" s="160">
        <v>6.41E-5</v>
      </c>
      <c r="G155" s="159">
        <v>0.49459999999999998</v>
      </c>
      <c r="H155" s="159">
        <v>0.73</v>
      </c>
      <c r="I155" s="159">
        <v>276</v>
      </c>
      <c r="J155" s="220">
        <v>1.68</v>
      </c>
      <c r="K155" s="173"/>
      <c r="L155" s="174">
        <f t="shared" si="68"/>
        <v>0.90062922601333595</v>
      </c>
      <c r="M155" s="174">
        <f t="shared" si="69"/>
        <v>0.53608882500793809</v>
      </c>
      <c r="N155" s="174">
        <f t="shared" si="70"/>
        <v>0.16295220989480075</v>
      </c>
      <c r="O155" s="174">
        <f t="shared" si="51"/>
        <v>206.78635435650216</v>
      </c>
      <c r="P155" s="174">
        <f t="shared" si="52"/>
        <v>2.0846559887443159</v>
      </c>
      <c r="Q155" s="175">
        <f t="shared" si="53"/>
        <v>2.0846559887443159</v>
      </c>
      <c r="R155" s="176">
        <f t="shared" si="54"/>
        <v>1.1823998644924545</v>
      </c>
      <c r="S155" s="177">
        <f t="shared" si="55"/>
        <v>12.793051349780008</v>
      </c>
      <c r="T155" s="177">
        <f t="shared" si="56"/>
        <v>7.2561143249041695</v>
      </c>
      <c r="U155" s="167"/>
      <c r="V155" s="178">
        <f t="shared" si="71"/>
        <v>1.279418733217501E-2</v>
      </c>
      <c r="W155" s="179">
        <f t="shared" si="72"/>
        <v>6.2470277791825502E-5</v>
      </c>
      <c r="X155" s="180">
        <f t="shared" si="57"/>
        <v>1.3054556923873728E-2</v>
      </c>
      <c r="Y155" s="180">
        <f t="shared" si="58"/>
        <v>8.1197353260887911E-5</v>
      </c>
      <c r="Z155" s="181">
        <f t="shared" si="59"/>
        <v>1.0441949179355932</v>
      </c>
      <c r="AA155" s="181">
        <f t="shared" si="60"/>
        <v>2.1492216021045691E-3</v>
      </c>
      <c r="AB155" s="181">
        <f t="shared" si="61"/>
        <v>-4.5156299553385959E-2</v>
      </c>
      <c r="AC155" s="181">
        <f t="shared" si="73"/>
        <v>1.2886331574790711E-2</v>
      </c>
      <c r="AD155" s="181">
        <f t="shared" si="74"/>
        <v>7.9118164659512666E-5</v>
      </c>
      <c r="AE155" s="267"/>
      <c r="AF155" s="182">
        <f t="shared" si="62"/>
        <v>1.0081206737415294E-2</v>
      </c>
      <c r="AG155" s="182">
        <f t="shared" si="63"/>
        <v>5.4310876523080412E-3</v>
      </c>
      <c r="AH155" s="149">
        <f t="shared" si="64"/>
        <v>-5.2274160847365456</v>
      </c>
      <c r="AI155" s="149">
        <f t="shared" si="65"/>
        <v>5.2599923026879702</v>
      </c>
      <c r="AJ155" s="149">
        <f t="shared" si="66"/>
        <v>-3.4481566024796795E-2</v>
      </c>
      <c r="AK155" s="149">
        <f t="shared" si="67"/>
        <v>-8.6203915061991987E-3</v>
      </c>
      <c r="AL155" s="148">
        <f t="shared" si="75"/>
        <v>0.23506275032860713</v>
      </c>
    </row>
    <row r="156" spans="1:38" ht="21" customHeight="1" x14ac:dyDescent="0.3">
      <c r="A156" s="172"/>
      <c r="B156" s="159">
        <v>25</v>
      </c>
      <c r="C156" s="159">
        <v>267.01</v>
      </c>
      <c r="D156" s="159">
        <v>11.16</v>
      </c>
      <c r="E156" s="160">
        <v>7.4010000000000006E-2</v>
      </c>
      <c r="F156" s="160">
        <v>1.371E-4</v>
      </c>
      <c r="G156" s="159">
        <v>0.18529999999999999</v>
      </c>
      <c r="H156" s="159">
        <v>0.83</v>
      </c>
      <c r="I156" s="159">
        <v>350</v>
      </c>
      <c r="J156" s="220">
        <v>1.72</v>
      </c>
      <c r="K156" s="173"/>
      <c r="L156" s="174">
        <f t="shared" si="68"/>
        <v>1.0244642620481388</v>
      </c>
      <c r="M156" s="174">
        <f t="shared" si="69"/>
        <v>0.59561875700473177</v>
      </c>
      <c r="N156" s="174">
        <f t="shared" si="70"/>
        <v>0.23012672401557469</v>
      </c>
      <c r="O156" s="174">
        <f t="shared" si="51"/>
        <v>292.03081277576428</v>
      </c>
      <c r="P156" s="174">
        <f t="shared" si="52"/>
        <v>137.39690027029684</v>
      </c>
      <c r="Q156" s="175">
        <f t="shared" si="53"/>
        <v>137.39690027029684</v>
      </c>
      <c r="R156" s="176">
        <f t="shared" si="54"/>
        <v>25.393868870256465</v>
      </c>
      <c r="S156" s="177">
        <f t="shared" si="55"/>
        <v>597.04886887017085</v>
      </c>
      <c r="T156" s="177">
        <f t="shared" si="56"/>
        <v>110.34732701682158</v>
      </c>
      <c r="U156" s="167"/>
      <c r="V156" s="178">
        <f t="shared" si="71"/>
        <v>6.8909972905280226E-2</v>
      </c>
      <c r="W156" s="179">
        <f t="shared" si="72"/>
        <v>1.1885591634592426E-4</v>
      </c>
      <c r="X156" s="180">
        <f t="shared" si="57"/>
        <v>7.6972531831754148E-2</v>
      </c>
      <c r="Y156" s="180">
        <f t="shared" si="58"/>
        <v>3.1024652565457528E-4</v>
      </c>
      <c r="Z156" s="181">
        <f t="shared" si="59"/>
        <v>1.0497674489286326</v>
      </c>
      <c r="AA156" s="181">
        <f t="shared" si="60"/>
        <v>6.7515991629424801E-2</v>
      </c>
      <c r="AB156" s="181">
        <f t="shared" si="61"/>
        <v>-5.103427271008433E-2</v>
      </c>
      <c r="AC156" s="181">
        <f t="shared" si="73"/>
        <v>7.1471211713112548E-2</v>
      </c>
      <c r="AD156" s="181">
        <f t="shared" si="74"/>
        <v>2.6748391627620693E-4</v>
      </c>
      <c r="AE156" s="267"/>
      <c r="AF156" s="182">
        <f t="shared" si="62"/>
        <v>0.47048768232479971</v>
      </c>
      <c r="AG156" s="182">
        <f t="shared" si="63"/>
        <v>2.4386126733164988E-2</v>
      </c>
      <c r="AH156" s="149">
        <f t="shared" si="64"/>
        <v>-7.6101316525037843</v>
      </c>
      <c r="AI156" s="149">
        <f t="shared" si="65"/>
        <v>9.8639695788949968</v>
      </c>
      <c r="AJ156" s="149">
        <f t="shared" si="66"/>
        <v>-2.3427600983505994</v>
      </c>
      <c r="AK156" s="149">
        <f t="shared" si="67"/>
        <v>-0.58569002458764985</v>
      </c>
      <c r="AL156" s="148">
        <f t="shared" si="75"/>
        <v>0.22534372525877727</v>
      </c>
    </row>
    <row r="157" spans="1:38" ht="21" customHeight="1" x14ac:dyDescent="0.3">
      <c r="A157" s="172"/>
      <c r="B157" s="159">
        <v>24</v>
      </c>
      <c r="C157" s="159">
        <v>266.44</v>
      </c>
      <c r="D157" s="159">
        <v>54.19</v>
      </c>
      <c r="E157" s="160">
        <v>7.2700000000000001E-2</v>
      </c>
      <c r="F157" s="160">
        <v>1.116E-4</v>
      </c>
      <c r="G157" s="159">
        <v>0.1535</v>
      </c>
      <c r="H157" s="159">
        <v>1.01</v>
      </c>
      <c r="I157" s="159">
        <v>528</v>
      </c>
      <c r="J157" s="220">
        <v>2.12</v>
      </c>
      <c r="K157" s="173"/>
      <c r="L157" s="174">
        <f t="shared" si="68"/>
        <v>1.3785419475268275</v>
      </c>
      <c r="M157" s="174">
        <f t="shared" si="69"/>
        <v>0.65025563562586197</v>
      </c>
      <c r="N157" s="174">
        <f t="shared" si="70"/>
        <v>0.38582093645355686</v>
      </c>
      <c r="O157" s="174">
        <f t="shared" si="51"/>
        <v>489.60676835956366</v>
      </c>
      <c r="P157" s="174">
        <f t="shared" si="52"/>
        <v>223.76523694180119</v>
      </c>
      <c r="Q157" s="175">
        <f t="shared" si="53"/>
        <v>223.76523694180119</v>
      </c>
      <c r="R157" s="176">
        <f t="shared" si="54"/>
        <v>41.335236884305495</v>
      </c>
      <c r="S157" s="177">
        <f t="shared" si="55"/>
        <v>579.97173247941896</v>
      </c>
      <c r="T157" s="177">
        <f t="shared" si="56"/>
        <v>107.13580570369388</v>
      </c>
      <c r="U157" s="167"/>
      <c r="V157" s="178">
        <f t="shared" si="71"/>
        <v>6.7772909480749516E-2</v>
      </c>
      <c r="W157" s="179">
        <f t="shared" si="72"/>
        <v>9.6985684070055342E-5</v>
      </c>
      <c r="X157" s="180">
        <f t="shared" si="57"/>
        <v>7.5597415103580229E-2</v>
      </c>
      <c r="Y157" s="180">
        <f t="shared" si="58"/>
        <v>2.9337474495902882E-4</v>
      </c>
      <c r="Z157" s="181">
        <f t="shared" si="59"/>
        <v>1.0496474066772101</v>
      </c>
      <c r="AA157" s="181">
        <f t="shared" si="60"/>
        <v>6.6028208257264326E-2</v>
      </c>
      <c r="AB157" s="181">
        <f t="shared" si="61"/>
        <v>-5.0904031172610158E-2</v>
      </c>
      <c r="AC157" s="181">
        <f t="shared" si="73"/>
        <v>7.0284117497902476E-2</v>
      </c>
      <c r="AD157" s="181">
        <f t="shared" si="74"/>
        <v>2.5358480420589784E-4</v>
      </c>
      <c r="AE157" s="267"/>
      <c r="AF157" s="182">
        <f t="shared" si="62"/>
        <v>0.4570305220483995</v>
      </c>
      <c r="AG157" s="182">
        <f t="shared" si="63"/>
        <v>2.353274924742282E-2</v>
      </c>
      <c r="AH157" s="149">
        <f t="shared" si="64"/>
        <v>-7.540487572785727</v>
      </c>
      <c r="AI157" s="149">
        <f t="shared" si="65"/>
        <v>9.7090334013917445</v>
      </c>
      <c r="AJ157" s="149">
        <f t="shared" si="66"/>
        <v>-2.254924597273166</v>
      </c>
      <c r="AK157" s="149">
        <f t="shared" si="67"/>
        <v>-0.56373114931829149</v>
      </c>
      <c r="AL157" s="148">
        <f t="shared" si="75"/>
        <v>0.21188656498237707</v>
      </c>
    </row>
    <row r="158" spans="1:38" ht="21" customHeight="1" x14ac:dyDescent="0.3">
      <c r="A158" s="172"/>
      <c r="B158" s="159">
        <v>23</v>
      </c>
      <c r="C158" s="159">
        <v>254.15</v>
      </c>
      <c r="D158" s="159">
        <v>330.14</v>
      </c>
      <c r="E158" s="160">
        <v>7.1319999999999995E-2</v>
      </c>
      <c r="F158" s="160">
        <v>1.055E-4</v>
      </c>
      <c r="G158" s="159">
        <v>0.1479</v>
      </c>
      <c r="H158" s="159">
        <v>1.03</v>
      </c>
      <c r="I158" s="159">
        <v>549</v>
      </c>
      <c r="J158" s="220">
        <v>2.5</v>
      </c>
      <c r="K158" s="173"/>
      <c r="L158" s="174">
        <f t="shared" si="68"/>
        <v>1.5135796449033703</v>
      </c>
      <c r="M158" s="174">
        <f t="shared" si="69"/>
        <v>0.60543185796134813</v>
      </c>
      <c r="N158" s="174">
        <f t="shared" si="70"/>
        <v>0.37763982958224684</v>
      </c>
      <c r="O158" s="174">
        <f t="shared" si="51"/>
        <v>479.22494373987126</v>
      </c>
      <c r="P158" s="174">
        <f t="shared" si="52"/>
        <v>212.33668196266916</v>
      </c>
      <c r="Q158" s="175">
        <f t="shared" si="53"/>
        <v>212.33668196266916</v>
      </c>
      <c r="R158" s="176">
        <f t="shared" si="54"/>
        <v>39.205351444584906</v>
      </c>
      <c r="S158" s="177">
        <f t="shared" si="55"/>
        <v>562.273005465447</v>
      </c>
      <c r="T158" s="177">
        <f t="shared" si="56"/>
        <v>103.81678089399281</v>
      </c>
      <c r="U158" s="167"/>
      <c r="V158" s="178">
        <f t="shared" si="71"/>
        <v>6.6572079304036136E-2</v>
      </c>
      <c r="W158" s="179">
        <f t="shared" si="72"/>
        <v>9.1920850570720411E-5</v>
      </c>
      <c r="X158" s="180">
        <f t="shared" si="57"/>
        <v>7.4148988924766179E-2</v>
      </c>
      <c r="Y158" s="180">
        <f t="shared" si="58"/>
        <v>2.8518230141683939E-4</v>
      </c>
      <c r="Z158" s="181">
        <f t="shared" si="59"/>
        <v>1.0495209722232297</v>
      </c>
      <c r="AA158" s="181">
        <f t="shared" si="60"/>
        <v>6.4464984429084896E-2</v>
      </c>
      <c r="AB158" s="181">
        <f t="shared" si="61"/>
        <v>-5.0767026217956292E-2</v>
      </c>
      <c r="AC158" s="181">
        <f t="shared" si="73"/>
        <v>6.9030450793413731E-2</v>
      </c>
      <c r="AD158" s="181">
        <f t="shared" si="74"/>
        <v>2.4716872736387896E-4</v>
      </c>
      <c r="AE158" s="267"/>
      <c r="AF158" s="182">
        <f t="shared" si="62"/>
        <v>0.44308353464574229</v>
      </c>
      <c r="AG158" s="182">
        <f t="shared" si="63"/>
        <v>2.2673955715740067E-2</v>
      </c>
      <c r="AH158" s="149">
        <f t="shared" si="64"/>
        <v>-7.4683085184721039</v>
      </c>
      <c r="AI158" s="149">
        <f t="shared" si="65"/>
        <v>9.5497519427242743</v>
      </c>
      <c r="AJ158" s="149">
        <f t="shared" si="66"/>
        <v>-2.1651862123002141</v>
      </c>
      <c r="AK158" s="149">
        <f t="shared" si="67"/>
        <v>-0.54129655307505353</v>
      </c>
      <c r="AL158" s="148">
        <f t="shared" si="75"/>
        <v>0.19793957757971986</v>
      </c>
    </row>
    <row r="159" spans="1:38" ht="21" customHeight="1" x14ac:dyDescent="0.3">
      <c r="A159" s="172"/>
      <c r="B159" s="159">
        <v>32</v>
      </c>
      <c r="C159" s="159">
        <v>396.5</v>
      </c>
      <c r="D159" s="159">
        <v>406.17</v>
      </c>
      <c r="E159" s="160">
        <v>7.1739999999999998E-2</v>
      </c>
      <c r="F159" s="160">
        <v>1.0560000000000001E-4</v>
      </c>
      <c r="G159" s="159">
        <v>0.1472</v>
      </c>
      <c r="H159" s="159">
        <v>1.01</v>
      </c>
      <c r="I159" s="159">
        <v>525</v>
      </c>
      <c r="J159" s="220">
        <v>1.86</v>
      </c>
      <c r="K159" s="94"/>
      <c r="L159" s="174">
        <f t="shared" si="68"/>
        <v>1.2978279608267405</v>
      </c>
      <c r="M159" s="174">
        <f t="shared" si="69"/>
        <v>0.69775696818641952</v>
      </c>
      <c r="N159" s="174">
        <f t="shared" si="70"/>
        <v>0.40733023851417394</v>
      </c>
      <c r="O159" s="174">
        <f t="shared" si="51"/>
        <v>516.9020726744867</v>
      </c>
      <c r="P159" s="174">
        <f t="shared" si="52"/>
        <v>231.2122147246167</v>
      </c>
      <c r="Q159" s="175">
        <f t="shared" si="53"/>
        <v>231.2122147246167</v>
      </c>
      <c r="R159" s="176">
        <f t="shared" si="54"/>
        <v>42.696441853180147</v>
      </c>
      <c r="S159" s="177">
        <f t="shared" si="55"/>
        <v>567.62840777059364</v>
      </c>
      <c r="T159" s="177">
        <f t="shared" si="56"/>
        <v>104.82021174986849</v>
      </c>
      <c r="U159" s="183"/>
      <c r="V159" s="178">
        <f t="shared" si="71"/>
        <v>6.6937876723832279E-2</v>
      </c>
      <c r="W159" s="179">
        <f t="shared" si="72"/>
        <v>9.1935880174261783E-5</v>
      </c>
      <c r="X159" s="180">
        <f t="shared" si="57"/>
        <v>7.4589795813328766E-2</v>
      </c>
      <c r="Y159" s="180">
        <f t="shared" si="58"/>
        <v>2.8695205241289237E-4</v>
      </c>
      <c r="Z159" s="181">
        <f t="shared" si="59"/>
        <v>1.0495594498560286</v>
      </c>
      <c r="AA159" s="181">
        <f t="shared" si="60"/>
        <v>6.4940307375148693E-2</v>
      </c>
      <c r="AB159" s="181">
        <f t="shared" si="61"/>
        <v>-5.0808702087709781E-2</v>
      </c>
      <c r="AC159" s="181">
        <f t="shared" si="73"/>
        <v>6.9412343299680893E-2</v>
      </c>
      <c r="AD159" s="181">
        <f t="shared" si="74"/>
        <v>2.4849857971911E-4</v>
      </c>
      <c r="AE159" s="267"/>
      <c r="AF159" s="182">
        <f t="shared" si="62"/>
        <v>0.44730370982710299</v>
      </c>
      <c r="AG159" s="182">
        <f t="shared" si="63"/>
        <v>2.2931454031683767E-2</v>
      </c>
      <c r="AH159" s="149">
        <f t="shared" si="64"/>
        <v>-7.4901489521682292</v>
      </c>
      <c r="AI159" s="149">
        <f t="shared" si="65"/>
        <v>9.597809418404573</v>
      </c>
      <c r="AJ159" s="149">
        <f t="shared" si="66"/>
        <v>-2.1922008673936659</v>
      </c>
      <c r="AK159" s="149">
        <f t="shared" si="67"/>
        <v>-0.54805021684841648</v>
      </c>
      <c r="AL159" s="148">
        <f t="shared" si="75"/>
        <v>0.20215975276108056</v>
      </c>
    </row>
    <row r="160" spans="1:38" ht="21" customHeight="1" x14ac:dyDescent="0.3">
      <c r="A160" s="172"/>
      <c r="B160" s="159">
        <v>36</v>
      </c>
      <c r="C160" s="159">
        <v>427.12</v>
      </c>
      <c r="D160" s="159">
        <v>432.35</v>
      </c>
      <c r="E160" s="160">
        <v>1.6230000000000001E-2</v>
      </c>
      <c r="F160" s="160">
        <v>6.3170000000000007E-5</v>
      </c>
      <c r="G160" s="159">
        <v>0.38929999999999998</v>
      </c>
      <c r="H160" s="159">
        <v>0.79</v>
      </c>
      <c r="I160" s="159">
        <v>318</v>
      </c>
      <c r="J160" s="220">
        <v>1.1399999999999999</v>
      </c>
      <c r="K160" s="94"/>
      <c r="L160" s="174">
        <f t="shared" si="68"/>
        <v>0.82549439612676223</v>
      </c>
      <c r="M160" s="174">
        <f t="shared" si="69"/>
        <v>0.72411789133926519</v>
      </c>
      <c r="N160" s="174">
        <f t="shared" si="70"/>
        <v>0.24055358122302348</v>
      </c>
      <c r="O160" s="174">
        <f t="shared" si="51"/>
        <v>305.26249457201681</v>
      </c>
      <c r="P160" s="174">
        <f t="shared" si="52"/>
        <v>8.6409973915081313</v>
      </c>
      <c r="Q160" s="175">
        <f t="shared" si="53"/>
        <v>8.6409973915081313</v>
      </c>
      <c r="R160" s="176">
        <f t="shared" si="54"/>
        <v>2.2968015803278354</v>
      </c>
      <c r="S160" s="177">
        <f t="shared" si="55"/>
        <v>35.92130014267731</v>
      </c>
      <c r="T160" s="177">
        <f t="shared" si="56"/>
        <v>9.5479833168578399</v>
      </c>
      <c r="U160" s="183"/>
      <c r="V160" s="178">
        <f t="shared" si="71"/>
        <v>1.5970794013166312E-2</v>
      </c>
      <c r="W160" s="179">
        <f t="shared" si="72"/>
        <v>6.1168362420109908E-5</v>
      </c>
      <c r="X160" s="180">
        <f t="shared" si="57"/>
        <v>1.6469560444152476E-2</v>
      </c>
      <c r="Y160" s="180">
        <f t="shared" si="58"/>
        <v>8.3034191319291347E-5</v>
      </c>
      <c r="Z160" s="181">
        <f t="shared" si="59"/>
        <v>1.0444922715968259</v>
      </c>
      <c r="AA160" s="181">
        <f t="shared" si="60"/>
        <v>5.445839018356431E-3</v>
      </c>
      <c r="AB160" s="181">
        <f t="shared" si="61"/>
        <v>-4.5461256161619251E-2</v>
      </c>
      <c r="AC160" s="181">
        <f t="shared" si="73"/>
        <v>1.6202708949745629E-2</v>
      </c>
      <c r="AD160" s="181">
        <f t="shared" si="74"/>
        <v>8.0365232431331201E-5</v>
      </c>
      <c r="AE160" s="267"/>
      <c r="AF160" s="182">
        <f t="shared" si="62"/>
        <v>2.8306777102188582E-2</v>
      </c>
      <c r="AG160" s="182">
        <f t="shared" si="63"/>
        <v>5.6029373725095394E-3</v>
      </c>
      <c r="AH160" s="149">
        <f t="shared" si="64"/>
        <v>-5.321737847227352</v>
      </c>
      <c r="AI160" s="149">
        <f t="shared" si="65"/>
        <v>5.4149548106330547</v>
      </c>
      <c r="AJ160" s="149">
        <f t="shared" si="66"/>
        <v>-9.8566944278015892E-2</v>
      </c>
      <c r="AK160" s="149">
        <f t="shared" si="67"/>
        <v>-2.4641736069503973E-2</v>
      </c>
      <c r="AL160" s="148">
        <f t="shared" si="75"/>
        <v>0.21683717996383384</v>
      </c>
    </row>
    <row r="161" spans="1:38" ht="21" customHeight="1" x14ac:dyDescent="0.3">
      <c r="A161" s="172"/>
      <c r="B161" s="159">
        <v>14</v>
      </c>
      <c r="C161" s="159">
        <v>183.75</v>
      </c>
      <c r="D161" s="159">
        <v>348.21</v>
      </c>
      <c r="E161" s="160">
        <v>9.7949999999999995E-2</v>
      </c>
      <c r="F161" s="160">
        <v>1.328E-4</v>
      </c>
      <c r="G161" s="159">
        <v>0.1356</v>
      </c>
      <c r="H161" s="159">
        <v>0.96</v>
      </c>
      <c r="I161" s="159">
        <v>473</v>
      </c>
      <c r="J161" s="220">
        <v>1.45</v>
      </c>
      <c r="K161" s="94"/>
      <c r="L161" s="174">
        <f t="shared" si="68"/>
        <v>1.1082943815729716</v>
      </c>
      <c r="M161" s="174">
        <f t="shared" si="69"/>
        <v>0.76434095280894598</v>
      </c>
      <c r="N161" s="174">
        <f t="shared" si="70"/>
        <v>0.3916289802777187</v>
      </c>
      <c r="O161" s="174">
        <f t="shared" si="51"/>
        <v>496.97717597242502</v>
      </c>
      <c r="P161" s="174">
        <f t="shared" si="52"/>
        <v>378.13123207262396</v>
      </c>
      <c r="Q161" s="175">
        <f t="shared" si="53"/>
        <v>378.13123207262396</v>
      </c>
      <c r="R161" s="176">
        <f t="shared" si="54"/>
        <v>70.811861091856017</v>
      </c>
      <c r="S161" s="177">
        <f t="shared" si="55"/>
        <v>965.53434785259515</v>
      </c>
      <c r="T161" s="177">
        <f t="shared" si="56"/>
        <v>180.81363907655833</v>
      </c>
      <c r="U161" s="183"/>
      <c r="V161" s="178">
        <f t="shared" si="71"/>
        <v>8.9211712737374188E-2</v>
      </c>
      <c r="W161" s="179">
        <f t="shared" si="72"/>
        <v>1.1016228839972377E-4</v>
      </c>
      <c r="X161" s="180">
        <f t="shared" si="57"/>
        <v>0.10213025346069549</v>
      </c>
      <c r="Y161" s="180">
        <f t="shared" si="58"/>
        <v>4.097464619709475E-4</v>
      </c>
      <c r="Z161" s="181">
        <f t="shared" si="59"/>
        <v>1.0519648300004527</v>
      </c>
      <c r="AA161" s="181">
        <f t="shared" si="60"/>
        <v>9.53674783618704E-2</v>
      </c>
      <c r="AB161" s="181">
        <f t="shared" si="61"/>
        <v>-5.344640820610682E-2</v>
      </c>
      <c r="AC161" s="181">
        <f t="shared" si="73"/>
        <v>9.2666228097818659E-2</v>
      </c>
      <c r="AD161" s="181">
        <f t="shared" si="74"/>
        <v>3.3732564884803067E-4</v>
      </c>
      <c r="AE161" s="267"/>
      <c r="AF161" s="182">
        <f t="shared" si="62"/>
        <v>0.76086237025421211</v>
      </c>
      <c r="AG161" s="182">
        <f t="shared" si="63"/>
        <v>4.5632081285228339E-2</v>
      </c>
      <c r="AH161" s="149">
        <f t="shared" si="64"/>
        <v>-9.1128913357429635</v>
      </c>
      <c r="AI161" s="149">
        <f t="shared" si="65"/>
        <v>13.505888912329812</v>
      </c>
      <c r="AJ161" s="149">
        <f t="shared" si="66"/>
        <v>-4.536800564564893</v>
      </c>
      <c r="AK161" s="149">
        <f t="shared" si="67"/>
        <v>-1.1342001411412233</v>
      </c>
      <c r="AL161" s="148">
        <f t="shared" si="75"/>
        <v>0.51571841318818967</v>
      </c>
    </row>
    <row r="162" spans="1:38" ht="21" customHeight="1" x14ac:dyDescent="0.3">
      <c r="A162" s="172"/>
      <c r="B162" s="159">
        <v>13</v>
      </c>
      <c r="C162" s="159">
        <v>171.26</v>
      </c>
      <c r="D162" s="159">
        <v>387.42</v>
      </c>
      <c r="E162" s="160">
        <v>3.109E-2</v>
      </c>
      <c r="F162" s="160">
        <v>8.1310000000000006E-5</v>
      </c>
      <c r="G162" s="159">
        <v>0.26150000000000001</v>
      </c>
      <c r="H162" s="159">
        <v>0.85</v>
      </c>
      <c r="I162" s="159">
        <v>375</v>
      </c>
      <c r="J162" s="220">
        <v>1.57</v>
      </c>
      <c r="K162" s="94"/>
      <c r="L162" s="174">
        <f t="shared" si="68"/>
        <v>1.0200979494043911</v>
      </c>
      <c r="M162" s="174">
        <f t="shared" si="69"/>
        <v>0.64974391681808352</v>
      </c>
      <c r="N162" s="174">
        <f t="shared" si="70"/>
        <v>0.26642145923949723</v>
      </c>
      <c r="O162" s="174">
        <f t="shared" si="51"/>
        <v>338.08883177492197</v>
      </c>
      <c r="P162" s="174">
        <f t="shared" si="52"/>
        <v>40.029462204219101</v>
      </c>
      <c r="Q162" s="175">
        <f t="shared" si="53"/>
        <v>40.029462204219101</v>
      </c>
      <c r="R162" s="176">
        <f t="shared" si="54"/>
        <v>7.5356310928311458</v>
      </c>
      <c r="S162" s="177">
        <f t="shared" si="55"/>
        <v>150.24864107599896</v>
      </c>
      <c r="T162" s="177">
        <f t="shared" si="56"/>
        <v>28.284625098675164</v>
      </c>
      <c r="U162" s="183"/>
      <c r="V162" s="178">
        <f t="shared" si="71"/>
        <v>3.0152557002783461E-2</v>
      </c>
      <c r="W162" s="179">
        <f t="shared" si="72"/>
        <v>7.6480516337180721E-5</v>
      </c>
      <c r="X162" s="180">
        <f t="shared" si="57"/>
        <v>3.2000764232949022E-2</v>
      </c>
      <c r="Y162" s="180">
        <f t="shared" si="58"/>
        <v>1.2765103899747458E-4</v>
      </c>
      <c r="Z162" s="181">
        <f t="shared" si="59"/>
        <v>1.0458451498857761</v>
      </c>
      <c r="AA162" s="181">
        <f t="shared" si="60"/>
        <v>2.0717470753356067E-2</v>
      </c>
      <c r="AB162" s="181">
        <f t="shared" si="61"/>
        <v>-4.68611254046052E-2</v>
      </c>
      <c r="AC162" s="181">
        <f t="shared" si="73"/>
        <v>3.1008469510905936E-2</v>
      </c>
      <c r="AD162" s="181">
        <f t="shared" si="74"/>
        <v>1.1985725198432635E-4</v>
      </c>
      <c r="AE162" s="267"/>
      <c r="AF162" s="182">
        <f t="shared" si="62"/>
        <v>0.11839924434672888</v>
      </c>
      <c r="AG162" s="182">
        <f t="shared" si="63"/>
        <v>7.456779061866186E-3</v>
      </c>
      <c r="AH162" s="149">
        <f t="shared" si="64"/>
        <v>-5.7879882924850081</v>
      </c>
      <c r="AI162" s="149">
        <f t="shared" si="65"/>
        <v>6.2140091435654217</v>
      </c>
      <c r="AJ162" s="149">
        <f t="shared" si="66"/>
        <v>-0.44839830826194377</v>
      </c>
      <c r="AK162" s="149">
        <f t="shared" si="67"/>
        <v>-0.11209957706548594</v>
      </c>
      <c r="AL162" s="148">
        <f t="shared" si="75"/>
        <v>0.12674471271929355</v>
      </c>
    </row>
    <row r="163" spans="1:38" ht="21" customHeight="1" x14ac:dyDescent="0.3">
      <c r="A163" s="172"/>
      <c r="B163" s="159">
        <v>41</v>
      </c>
      <c r="C163" s="159">
        <v>445.07</v>
      </c>
      <c r="D163" s="159">
        <v>476.66</v>
      </c>
      <c r="E163" s="160">
        <v>5.3379999999999997E-2</v>
      </c>
      <c r="F163" s="160">
        <v>1.1290000000000001E-4</v>
      </c>
      <c r="G163" s="159">
        <v>0.2114</v>
      </c>
      <c r="H163" s="159">
        <v>0.82</v>
      </c>
      <c r="I163" s="159">
        <v>343</v>
      </c>
      <c r="J163" s="220">
        <v>1.6</v>
      </c>
      <c r="K163" s="94"/>
      <c r="L163" s="174">
        <f t="shared" si="68"/>
        <v>0.98342166934634045</v>
      </c>
      <c r="M163" s="174">
        <f t="shared" si="69"/>
        <v>0.61463854334146273</v>
      </c>
      <c r="N163" s="174">
        <f t="shared" si="70"/>
        <v>0.2309997958340072</v>
      </c>
      <c r="O163" s="174">
        <f t="shared" si="51"/>
        <v>293.13874091335515</v>
      </c>
      <c r="P163" s="174">
        <f t="shared" si="52"/>
        <v>82.307993203516602</v>
      </c>
      <c r="Q163" s="175">
        <f t="shared" si="53"/>
        <v>82.307993203516602</v>
      </c>
      <c r="R163" s="176">
        <f t="shared" si="54"/>
        <v>15.154247663487793</v>
      </c>
      <c r="S163" s="177">
        <f t="shared" si="55"/>
        <v>356.31197381084189</v>
      </c>
      <c r="T163" s="177">
        <f t="shared" si="56"/>
        <v>65.602861720178282</v>
      </c>
      <c r="U163" s="183"/>
      <c r="V163" s="178">
        <f t="shared" si="71"/>
        <v>5.0674970096261554E-2</v>
      </c>
      <c r="W163" s="179">
        <f t="shared" si="72"/>
        <v>1.0174751360015577E-4</v>
      </c>
      <c r="X163" s="180">
        <f t="shared" si="57"/>
        <v>5.53353133390442E-2</v>
      </c>
      <c r="Y163" s="180">
        <f t="shared" si="58"/>
        <v>2.1934481453629454E-4</v>
      </c>
      <c r="Z163" s="181">
        <f t="shared" si="59"/>
        <v>1.0478794010303984</v>
      </c>
      <c r="AA163" s="181">
        <f t="shared" si="60"/>
        <v>4.4521428322858159E-2</v>
      </c>
      <c r="AB163" s="181">
        <f t="shared" si="61"/>
        <v>-4.9004235437538415E-2</v>
      </c>
      <c r="AC163" s="181">
        <f t="shared" si="73"/>
        <v>5.2433868780497071E-2</v>
      </c>
      <c r="AD163" s="181">
        <f t="shared" si="74"/>
        <v>1.9694566711276411E-4</v>
      </c>
      <c r="AE163" s="267"/>
      <c r="AF163" s="182">
        <f t="shared" si="62"/>
        <v>0.28078169725046642</v>
      </c>
      <c r="AG163" s="182">
        <f t="shared" si="63"/>
        <v>1.3831017807625242E-2</v>
      </c>
      <c r="AH163" s="149">
        <f t="shared" si="64"/>
        <v>-6.6283570079170548</v>
      </c>
      <c r="AI163" s="149">
        <f t="shared" si="65"/>
        <v>7.7930503126776918</v>
      </c>
      <c r="AJ163" s="149">
        <f t="shared" si="66"/>
        <v>-1.217761045540974</v>
      </c>
      <c r="AK163" s="149">
        <f t="shared" si="67"/>
        <v>-0.30444026138524349</v>
      </c>
      <c r="AL163" s="148">
        <f t="shared" si="75"/>
        <v>3.5637740184443989E-2</v>
      </c>
    </row>
    <row r="164" spans="1:38" ht="21" customHeight="1" x14ac:dyDescent="0.3">
      <c r="A164" s="172"/>
      <c r="B164" s="159">
        <v>16</v>
      </c>
      <c r="C164" s="159">
        <v>193.33</v>
      </c>
      <c r="D164" s="159">
        <v>371.07</v>
      </c>
      <c r="E164" s="160">
        <v>9.8669999999999994E-2</v>
      </c>
      <c r="F164" s="160">
        <v>1.415E-4</v>
      </c>
      <c r="G164" s="159">
        <v>0.14349999999999999</v>
      </c>
      <c r="H164" s="159">
        <v>0.9</v>
      </c>
      <c r="I164" s="159">
        <v>417</v>
      </c>
      <c r="J164" s="220">
        <v>1.5</v>
      </c>
      <c r="K164" s="94"/>
      <c r="L164" s="174">
        <f t="shared" si="68"/>
        <v>1.0553596454043246</v>
      </c>
      <c r="M164" s="174">
        <f t="shared" si="69"/>
        <v>0.70357309693621639</v>
      </c>
      <c r="N164" s="174">
        <f t="shared" si="70"/>
        <v>0.31912758444898265</v>
      </c>
      <c r="O164" s="174">
        <f t="shared" si="51"/>
        <v>404.97290466575896</v>
      </c>
      <c r="P164" s="174">
        <f t="shared" si="52"/>
        <v>312.29279868331957</v>
      </c>
      <c r="Q164" s="175">
        <f t="shared" si="53"/>
        <v>312.29279868331957</v>
      </c>
      <c r="R164" s="176">
        <f t="shared" si="54"/>
        <v>58.514711569132473</v>
      </c>
      <c r="S164" s="177">
        <f t="shared" si="55"/>
        <v>978.58290508648997</v>
      </c>
      <c r="T164" s="177">
        <f t="shared" si="56"/>
        <v>183.35836330214488</v>
      </c>
      <c r="U164" s="183"/>
      <c r="V164" s="178">
        <f t="shared" si="71"/>
        <v>8.9808586745792632E-2</v>
      </c>
      <c r="W164" s="179">
        <f t="shared" si="72"/>
        <v>1.1722544983977931E-4</v>
      </c>
      <c r="X164" s="180">
        <f t="shared" si="57"/>
        <v>0.10288769196757597</v>
      </c>
      <c r="Y164" s="180">
        <f t="shared" si="58"/>
        <v>4.1613847606576264E-4</v>
      </c>
      <c r="Z164" s="181">
        <f t="shared" si="59"/>
        <v>1.052031023486552</v>
      </c>
      <c r="AA164" s="181">
        <f t="shared" si="60"/>
        <v>9.6224620337442154E-2</v>
      </c>
      <c r="AB164" s="181">
        <f t="shared" si="61"/>
        <v>-5.3519895488116941E-2</v>
      </c>
      <c r="AC164" s="181">
        <f t="shared" si="73"/>
        <v>9.3289364562607502E-2</v>
      </c>
      <c r="AD164" s="181">
        <f t="shared" si="74"/>
        <v>3.4211750191027475E-4</v>
      </c>
      <c r="AE164" s="267"/>
      <c r="AF164" s="182">
        <f t="shared" si="62"/>
        <v>0.77114492126594958</v>
      </c>
      <c r="AG164" s="182">
        <f t="shared" si="63"/>
        <v>4.6497052853268502E-2</v>
      </c>
      <c r="AH164" s="149">
        <f t="shared" si="64"/>
        <v>-9.1661060398601659</v>
      </c>
      <c r="AI164" s="149">
        <f t="shared" si="65"/>
        <v>13.645322734135284</v>
      </c>
      <c r="AJ164" s="149">
        <f t="shared" si="66"/>
        <v>-4.6249630843943841</v>
      </c>
      <c r="AK164" s="149">
        <f t="shared" si="67"/>
        <v>-1.156240771098596</v>
      </c>
      <c r="AL164" s="148">
        <f t="shared" si="75"/>
        <v>0.52600096419992715</v>
      </c>
    </row>
    <row r="165" spans="1:38" ht="21" customHeight="1" x14ac:dyDescent="0.3">
      <c r="A165" s="172"/>
      <c r="B165" s="159">
        <v>30</v>
      </c>
      <c r="C165" s="159">
        <v>384.13</v>
      </c>
      <c r="D165" s="159">
        <v>487.7</v>
      </c>
      <c r="E165" s="160">
        <v>1.529E-2</v>
      </c>
      <c r="F165" s="160">
        <v>6.5469999999999995E-5</v>
      </c>
      <c r="G165" s="159">
        <v>0.42809999999999998</v>
      </c>
      <c r="H165" s="159">
        <v>0.71</v>
      </c>
      <c r="I165" s="159">
        <v>261</v>
      </c>
      <c r="J165" s="220">
        <v>1.07</v>
      </c>
      <c r="K165" s="94"/>
      <c r="L165" s="174">
        <f t="shared" si="68"/>
        <v>0.730095899550812</v>
      </c>
      <c r="M165" s="174">
        <f t="shared" si="69"/>
        <v>0.68233261640262788</v>
      </c>
      <c r="N165" s="174">
        <f t="shared" si="70"/>
        <v>0.18380160321528036</v>
      </c>
      <c r="O165" s="174">
        <f t="shared" si="51"/>
        <v>233.24423448019078</v>
      </c>
      <c r="P165" s="174">
        <f t="shared" si="52"/>
        <v>5.3675855655759257</v>
      </c>
      <c r="Q165" s="175">
        <f t="shared" si="53"/>
        <v>5.3675855655759257</v>
      </c>
      <c r="R165" s="176">
        <f t="shared" si="54"/>
        <v>1.6063449572862838</v>
      </c>
      <c r="S165" s="177">
        <f t="shared" si="55"/>
        <v>29.203148784774534</v>
      </c>
      <c r="T165" s="177">
        <f t="shared" si="56"/>
        <v>8.7395590092042248</v>
      </c>
      <c r="U165" s="183"/>
      <c r="V165" s="178">
        <f t="shared" si="71"/>
        <v>1.5059736626973573E-2</v>
      </c>
      <c r="W165" s="179">
        <f t="shared" si="72"/>
        <v>6.3512926398400494E-5</v>
      </c>
      <c r="X165" s="180">
        <f t="shared" si="57"/>
        <v>1.5487777890357983E-2</v>
      </c>
      <c r="Y165" s="180">
        <f t="shared" si="58"/>
        <v>8.4009575811232572E-5</v>
      </c>
      <c r="Z165" s="181">
        <f t="shared" si="59"/>
        <v>1.0444067807791588</v>
      </c>
      <c r="AA165" s="181">
        <f t="shared" si="60"/>
        <v>4.4958276675869623E-3</v>
      </c>
      <c r="AB165" s="181">
        <f t="shared" si="61"/>
        <v>-4.537347878996667E-2</v>
      </c>
      <c r="AC165" s="181">
        <f t="shared" si="73"/>
        <v>1.5251565038560412E-2</v>
      </c>
      <c r="AD165" s="181">
        <f t="shared" si="74"/>
        <v>8.1466562279805055E-5</v>
      </c>
      <c r="AE165" s="267"/>
      <c r="AF165" s="182">
        <f t="shared" si="62"/>
        <v>2.3012725598719096E-2</v>
      </c>
      <c r="AG165" s="182">
        <f t="shared" si="63"/>
        <v>5.5464376998751903E-3</v>
      </c>
      <c r="AH165" s="149">
        <f t="shared" si="64"/>
        <v>-5.2943398421975907</v>
      </c>
      <c r="AI165" s="149">
        <f t="shared" si="65"/>
        <v>5.3697104324480511</v>
      </c>
      <c r="AJ165" s="149">
        <f t="shared" si="66"/>
        <v>-7.9719995388617237E-2</v>
      </c>
      <c r="AK165" s="149">
        <f t="shared" si="67"/>
        <v>-1.9929998847154309E-2</v>
      </c>
      <c r="AL165" s="148">
        <f t="shared" si="75"/>
        <v>0.22213123146730335</v>
      </c>
    </row>
    <row r="166" spans="1:38" ht="21" customHeight="1" x14ac:dyDescent="0.3">
      <c r="A166" s="172"/>
      <c r="B166" s="159">
        <v>12</v>
      </c>
      <c r="C166" s="159">
        <v>162.91999999999999</v>
      </c>
      <c r="D166" s="159">
        <v>364.55</v>
      </c>
      <c r="E166" s="160">
        <v>3.1759999999999997E-2</v>
      </c>
      <c r="F166" s="160">
        <v>8.6749999999999994E-5</v>
      </c>
      <c r="G166" s="159">
        <v>0.27310000000000001</v>
      </c>
      <c r="H166" s="159">
        <v>0.81</v>
      </c>
      <c r="I166" s="159">
        <v>335</v>
      </c>
      <c r="J166" s="220">
        <v>1.61</v>
      </c>
      <c r="K166" s="94"/>
      <c r="L166" s="174">
        <f t="shared" si="68"/>
        <v>0.97444928374853523</v>
      </c>
      <c r="M166" s="174">
        <f t="shared" si="69"/>
        <v>0.60524800232828269</v>
      </c>
      <c r="N166" s="174">
        <f t="shared" si="70"/>
        <v>0.22231434904758365</v>
      </c>
      <c r="O166" s="174">
        <f t="shared" si="51"/>
        <v>282.11690894138366</v>
      </c>
      <c r="P166" s="174">
        <f t="shared" si="52"/>
        <v>34.634835721674982</v>
      </c>
      <c r="Q166" s="175">
        <f t="shared" si="53"/>
        <v>34.634835721674982</v>
      </c>
      <c r="R166" s="176">
        <f t="shared" si="54"/>
        <v>6.5064553632872588</v>
      </c>
      <c r="S166" s="177">
        <f t="shared" si="55"/>
        <v>155.79217387475887</v>
      </c>
      <c r="T166" s="177">
        <f t="shared" si="56"/>
        <v>29.266915928555882</v>
      </c>
      <c r="U166" s="183"/>
      <c r="V166" s="178">
        <f t="shared" si="71"/>
        <v>3.0782352485074046E-2</v>
      </c>
      <c r="W166" s="179">
        <f t="shared" si="72"/>
        <v>8.1491462086066347E-5</v>
      </c>
      <c r="X166" s="180">
        <f t="shared" si="57"/>
        <v>3.2701500938104748E-2</v>
      </c>
      <c r="Y166" s="180">
        <f t="shared" si="58"/>
        <v>1.3331725920783029E-4</v>
      </c>
      <c r="Z166" s="181">
        <f t="shared" si="59"/>
        <v>1.045906209679214</v>
      </c>
      <c r="AA166" s="181">
        <f t="shared" si="60"/>
        <v>2.1417274452378923E-2</v>
      </c>
      <c r="AB166" s="181">
        <f t="shared" si="61"/>
        <v>-4.6924785161751824E-2</v>
      </c>
      <c r="AC166" s="181">
        <f t="shared" si="73"/>
        <v>3.1665975994417311E-2</v>
      </c>
      <c r="AD166" s="181">
        <f t="shared" si="74"/>
        <v>1.2500769870174813E-4</v>
      </c>
      <c r="AE166" s="267"/>
      <c r="AF166" s="182">
        <f t="shared" si="62"/>
        <v>0.12276767050808421</v>
      </c>
      <c r="AG166" s="182">
        <f t="shared" si="63"/>
        <v>7.5863140347971116E-3</v>
      </c>
      <c r="AH166" s="149">
        <f t="shared" si="64"/>
        <v>-5.8105959610848554</v>
      </c>
      <c r="AI166" s="149">
        <f t="shared" si="65"/>
        <v>6.2541512084765127</v>
      </c>
      <c r="AJ166" s="149">
        <f t="shared" si="66"/>
        <v>-0.466758337117683</v>
      </c>
      <c r="AK166" s="149">
        <f t="shared" si="67"/>
        <v>-0.11668958427942075</v>
      </c>
      <c r="AL166" s="148">
        <f t="shared" si="75"/>
        <v>0.12237628655793822</v>
      </c>
    </row>
    <row r="167" spans="1:38" ht="21" customHeight="1" x14ac:dyDescent="0.3">
      <c r="A167" s="172"/>
      <c r="B167" s="159">
        <v>31</v>
      </c>
      <c r="C167" s="159">
        <v>384.36</v>
      </c>
      <c r="D167" s="159">
        <v>461.29</v>
      </c>
      <c r="E167" s="160">
        <v>7.0940000000000003E-2</v>
      </c>
      <c r="F167" s="160">
        <v>1.142E-4</v>
      </c>
      <c r="G167" s="159">
        <v>0.161</v>
      </c>
      <c r="H167" s="159">
        <v>0.91</v>
      </c>
      <c r="I167" s="159">
        <v>422</v>
      </c>
      <c r="J167" s="220">
        <v>1.62</v>
      </c>
      <c r="K167" s="94"/>
      <c r="L167" s="174">
        <f t="shared" si="68"/>
        <v>1.0965579399576386</v>
      </c>
      <c r="M167" s="174">
        <f t="shared" si="69"/>
        <v>0.67688761725780155</v>
      </c>
      <c r="N167" s="174">
        <f t="shared" si="70"/>
        <v>0.31340479686212375</v>
      </c>
      <c r="O167" s="174">
        <f t="shared" si="51"/>
        <v>397.71068721803505</v>
      </c>
      <c r="P167" s="174">
        <f t="shared" si="52"/>
        <v>174.70778362133649</v>
      </c>
      <c r="Q167" s="175">
        <f t="shared" si="53"/>
        <v>174.70778362133649</v>
      </c>
      <c r="R167" s="176">
        <f t="shared" si="54"/>
        <v>32.254115620869278</v>
      </c>
      <c r="S167" s="177">
        <f t="shared" si="55"/>
        <v>557.45089217059979</v>
      </c>
      <c r="T167" s="177">
        <f t="shared" si="56"/>
        <v>102.91519448267681</v>
      </c>
      <c r="U167" s="183"/>
      <c r="V167" s="178">
        <f t="shared" si="71"/>
        <v>6.6240872504528731E-2</v>
      </c>
      <c r="W167" s="179">
        <f t="shared" si="72"/>
        <v>9.9571677554282048E-5</v>
      </c>
      <c r="X167" s="180">
        <f t="shared" si="57"/>
        <v>7.3750177569518099E-2</v>
      </c>
      <c r="Y167" s="180">
        <f t="shared" si="58"/>
        <v>2.873082701586511E-4</v>
      </c>
      <c r="Z167" s="181">
        <f t="shared" si="59"/>
        <v>1.0494861609501072</v>
      </c>
      <c r="AA167" s="181">
        <f t="shared" si="60"/>
        <v>6.4035262655236028E-2</v>
      </c>
      <c r="AB167" s="181">
        <f t="shared" si="61"/>
        <v>-5.0729335528545132E-2</v>
      </c>
      <c r="AC167" s="181">
        <f t="shared" si="73"/>
        <v>6.8684670894727989E-2</v>
      </c>
      <c r="AD167" s="181">
        <f t="shared" si="74"/>
        <v>2.4919632309923121E-4</v>
      </c>
      <c r="AE167" s="267"/>
      <c r="AF167" s="182">
        <f t="shared" si="62"/>
        <v>0.43928360297131586</v>
      </c>
      <c r="AG167" s="182">
        <f t="shared" si="63"/>
        <v>2.2447514715564335E-2</v>
      </c>
      <c r="AH167" s="149">
        <f t="shared" si="64"/>
        <v>-7.4486429472058528</v>
      </c>
      <c r="AI167" s="149">
        <f t="shared" si="65"/>
        <v>9.5065832116352613</v>
      </c>
      <c r="AJ167" s="149">
        <f t="shared" si="66"/>
        <v>-2.140964865390989</v>
      </c>
      <c r="AK167" s="149">
        <f t="shared" si="67"/>
        <v>-0.53524121634774724</v>
      </c>
      <c r="AL167" s="148">
        <f t="shared" si="75"/>
        <v>0.19413964590529342</v>
      </c>
    </row>
    <row r="168" spans="1:38" ht="21" customHeight="1" x14ac:dyDescent="0.3">
      <c r="A168" s="172"/>
      <c r="B168" s="159">
        <v>33</v>
      </c>
      <c r="C168" s="159">
        <v>396.6</v>
      </c>
      <c r="D168" s="159">
        <v>440.28</v>
      </c>
      <c r="E168" s="160">
        <v>7.2639999999999996E-2</v>
      </c>
      <c r="F168" s="160">
        <v>1.2559999999999999E-4</v>
      </c>
      <c r="G168" s="159">
        <v>0.17299999999999999</v>
      </c>
      <c r="H168" s="159">
        <v>0.83</v>
      </c>
      <c r="I168" s="159">
        <v>351</v>
      </c>
      <c r="J168" s="220">
        <v>1.7</v>
      </c>
      <c r="K168" s="94"/>
      <c r="L168" s="174">
        <f t="shared" si="68"/>
        <v>1.0208009675077825</v>
      </c>
      <c r="M168" s="174">
        <f t="shared" si="69"/>
        <v>0.60047115735751921</v>
      </c>
      <c r="N168" s="174">
        <f t="shared" si="70"/>
        <v>0.23239615492602084</v>
      </c>
      <c r="O168" s="174">
        <f t="shared" si="51"/>
        <v>294.91072060112043</v>
      </c>
      <c r="P168" s="174">
        <f t="shared" si="52"/>
        <v>134.60293895915819</v>
      </c>
      <c r="Q168" s="175">
        <f t="shared" si="53"/>
        <v>134.60293895915819</v>
      </c>
      <c r="R168" s="176">
        <f t="shared" si="54"/>
        <v>24.864731688058871</v>
      </c>
      <c r="S168" s="177">
        <f t="shared" si="55"/>
        <v>579.19606717248246</v>
      </c>
      <c r="T168" s="177">
        <f t="shared" si="56"/>
        <v>106.99287041119123</v>
      </c>
      <c r="U168" s="183"/>
      <c r="V168" s="178">
        <f t="shared" si="71"/>
        <v>6.7720763723150348E-2</v>
      </c>
      <c r="W168" s="179">
        <f t="shared" si="72"/>
        <v>1.09164558543754E-4</v>
      </c>
      <c r="X168" s="180">
        <f t="shared" si="57"/>
        <v>7.5534436424108564E-2</v>
      </c>
      <c r="Y168" s="180">
        <f t="shared" si="58"/>
        <v>2.9930412738351413E-4</v>
      </c>
      <c r="Z168" s="181">
        <f t="shared" si="59"/>
        <v>1.0496419090519671</v>
      </c>
      <c r="AA168" s="181">
        <f t="shared" si="60"/>
        <v>6.5960155406054738E-2</v>
      </c>
      <c r="AB168" s="181">
        <f t="shared" si="61"/>
        <v>-5.0898070253101502E-2</v>
      </c>
      <c r="AC168" s="181">
        <f t="shared" si="73"/>
        <v>7.022967732696897E-2</v>
      </c>
      <c r="AD168" s="181">
        <f t="shared" si="74"/>
        <v>2.5874029289100873E-4</v>
      </c>
      <c r="AE168" s="267"/>
      <c r="AF168" s="182">
        <f t="shared" si="62"/>
        <v>0.45641928067177495</v>
      </c>
      <c r="AG168" s="182">
        <f t="shared" si="63"/>
        <v>2.3502266085740488E-2</v>
      </c>
      <c r="AH168" s="149">
        <f t="shared" si="64"/>
        <v>-7.5373242498939517</v>
      </c>
      <c r="AI168" s="149">
        <f t="shared" si="65"/>
        <v>9.7020251216250699</v>
      </c>
      <c r="AJ168" s="149">
        <f t="shared" si="66"/>
        <v>-2.2509641157780838</v>
      </c>
      <c r="AK168" s="149">
        <f t="shared" si="67"/>
        <v>-0.56274102894452094</v>
      </c>
      <c r="AL168" s="148">
        <f t="shared" si="75"/>
        <v>0.21127532360575252</v>
      </c>
    </row>
    <row r="169" spans="1:38" ht="21" customHeight="1" x14ac:dyDescent="0.3">
      <c r="A169" s="172"/>
      <c r="B169" s="159">
        <v>34</v>
      </c>
      <c r="C169" s="159">
        <v>400.99</v>
      </c>
      <c r="D169" s="159">
        <v>491.79</v>
      </c>
      <c r="E169" s="160">
        <v>1.7059999999999999E-2</v>
      </c>
      <c r="F169" s="160">
        <v>7.1089999999999999E-5</v>
      </c>
      <c r="G169" s="159">
        <v>0.41670000000000001</v>
      </c>
      <c r="H169" s="159">
        <v>0.69</v>
      </c>
      <c r="I169" s="159">
        <v>242</v>
      </c>
      <c r="J169" s="220">
        <v>1.34</v>
      </c>
      <c r="K169" s="94"/>
      <c r="L169" s="174">
        <f t="shared" si="68"/>
        <v>0.7675725145584249</v>
      </c>
      <c r="M169" s="174">
        <f t="shared" si="69"/>
        <v>0.57281530937195879</v>
      </c>
      <c r="N169" s="174">
        <f t="shared" si="70"/>
        <v>0.14860020875856766</v>
      </c>
      <c r="O169" s="174">
        <f t="shared" si="51"/>
        <v>188.57366491462236</v>
      </c>
      <c r="P169" s="174">
        <f t="shared" si="52"/>
        <v>6.226479687571846</v>
      </c>
      <c r="Q169" s="175">
        <f t="shared" si="53"/>
        <v>6.226479687571846</v>
      </c>
      <c r="R169" s="176">
        <f t="shared" si="54"/>
        <v>1.5362868937541685</v>
      </c>
      <c r="S169" s="177">
        <f t="shared" si="55"/>
        <v>41.900881160187829</v>
      </c>
      <c r="T169" s="177">
        <f t="shared" si="56"/>
        <v>10.338389875684429</v>
      </c>
      <c r="U169" s="183"/>
      <c r="V169" s="178">
        <f t="shared" si="71"/>
        <v>1.677383831828997E-2</v>
      </c>
      <c r="W169" s="179">
        <f t="shared" si="72"/>
        <v>6.8725097667741086E-5</v>
      </c>
      <c r="X169" s="180">
        <f t="shared" si="57"/>
        <v>1.7336520359561042E-2</v>
      </c>
      <c r="Y169" s="180">
        <f t="shared" si="58"/>
        <v>9.0666188566387225E-5</v>
      </c>
      <c r="Z169" s="181">
        <f t="shared" si="59"/>
        <v>1.0445677668963944</v>
      </c>
      <c r="AA169" s="181">
        <f t="shared" si="60"/>
        <v>6.2862622837216581E-3</v>
      </c>
      <c r="AB169" s="181">
        <f t="shared" si="61"/>
        <v>-4.5538838208921184E-2</v>
      </c>
      <c r="AC169" s="181">
        <f t="shared" si="73"/>
        <v>1.704108720429473E-2</v>
      </c>
      <c r="AD169" s="181">
        <f t="shared" si="74"/>
        <v>8.7602417053747351E-5</v>
      </c>
      <c r="AE169" s="267"/>
      <c r="AF169" s="182">
        <f t="shared" si="62"/>
        <v>3.3018818881156681E-2</v>
      </c>
      <c r="AG169" s="182">
        <f t="shared" si="63"/>
        <v>5.6620767894964676E-3</v>
      </c>
      <c r="AH169" s="149">
        <f t="shared" si="64"/>
        <v>-5.3461238102796598</v>
      </c>
      <c r="AI169" s="149">
        <f t="shared" si="65"/>
        <v>5.4553848366864477</v>
      </c>
      <c r="AJ169" s="149">
        <f t="shared" si="66"/>
        <v>-0.11550158317532547</v>
      </c>
      <c r="AK169" s="149">
        <f t="shared" si="67"/>
        <v>-2.8875395793831367E-2</v>
      </c>
      <c r="AL169" s="148">
        <f t="shared" si="75"/>
        <v>0.21212513818486575</v>
      </c>
    </row>
    <row r="170" spans="1:38" ht="21" customHeight="1" x14ac:dyDescent="0.3">
      <c r="A170" s="172"/>
      <c r="B170" s="159">
        <v>28</v>
      </c>
      <c r="C170" s="159">
        <v>286.85000000000002</v>
      </c>
      <c r="D170" s="159">
        <v>47.15</v>
      </c>
      <c r="E170" s="160">
        <v>1.349E-2</v>
      </c>
      <c r="F170" s="160">
        <v>4.829E-5</v>
      </c>
      <c r="G170" s="159">
        <v>0.35799999999999998</v>
      </c>
      <c r="H170" s="159">
        <v>0.96</v>
      </c>
      <c r="I170" s="159">
        <v>473</v>
      </c>
      <c r="J170" s="220">
        <v>2.13</v>
      </c>
      <c r="K170" s="94"/>
      <c r="L170" s="174">
        <f t="shared" si="68"/>
        <v>1.3074969220217059</v>
      </c>
      <c r="M170" s="174">
        <f t="shared" si="69"/>
        <v>0.61384832019798408</v>
      </c>
      <c r="N170" s="174">
        <f t="shared" si="70"/>
        <v>0.32639282785989049</v>
      </c>
      <c r="O170" s="174">
        <f t="shared" si="51"/>
        <v>414.19249855420105</v>
      </c>
      <c r="P170" s="174">
        <f t="shared" si="52"/>
        <v>5.3841262169223061</v>
      </c>
      <c r="Q170" s="175">
        <f t="shared" si="53"/>
        <v>5.3841262169223061</v>
      </c>
      <c r="R170" s="176">
        <f t="shared" si="54"/>
        <v>2.4507064506161353</v>
      </c>
      <c r="S170" s="177">
        <f t="shared" si="55"/>
        <v>16.495847204196323</v>
      </c>
      <c r="T170" s="177">
        <f t="shared" si="56"/>
        <v>7.5084568085795729</v>
      </c>
      <c r="U170" s="183"/>
      <c r="V170" s="178">
        <f t="shared" si="71"/>
        <v>1.3310442135590879E-2</v>
      </c>
      <c r="W170" s="179">
        <f t="shared" si="72"/>
        <v>4.7013032934979443E-5</v>
      </c>
      <c r="X170" s="180">
        <f t="shared" si="57"/>
        <v>1.3607992999605157E-2</v>
      </c>
      <c r="Y170" s="180">
        <f t="shared" si="58"/>
        <v>6.8567268224570846E-5</v>
      </c>
      <c r="Z170" s="181">
        <f t="shared" si="59"/>
        <v>1.0442431042483307</v>
      </c>
      <c r="AA170" s="181">
        <f t="shared" si="60"/>
        <v>2.6819712872841977E-3</v>
      </c>
      <c r="AB170" s="181">
        <f t="shared" si="61"/>
        <v>-4.5205651192798256E-2</v>
      </c>
      <c r="AC170" s="181">
        <f t="shared" si="73"/>
        <v>1.342530158955688E-2</v>
      </c>
      <c r="AD170" s="181">
        <f t="shared" si="74"/>
        <v>6.6738554191245707E-5</v>
      </c>
      <c r="AE170" s="267"/>
      <c r="AF170" s="182">
        <f t="shared" si="62"/>
        <v>1.2999091571470703E-2</v>
      </c>
      <c r="AG170" s="182">
        <f t="shared" si="63"/>
        <v>5.4489249479508037E-3</v>
      </c>
      <c r="AH170" s="149">
        <f t="shared" si="64"/>
        <v>-5.2425168489258116</v>
      </c>
      <c r="AI170" s="149">
        <f t="shared" si="65"/>
        <v>5.2846503036347752</v>
      </c>
      <c r="AJ170" s="149">
        <f t="shared" si="66"/>
        <v>-4.4590283015971836E-2</v>
      </c>
      <c r="AK170" s="149">
        <f t="shared" si="67"/>
        <v>-1.1147570753992959E-2</v>
      </c>
      <c r="AL170" s="148">
        <f t="shared" si="75"/>
        <v>0.23214486549455174</v>
      </c>
    </row>
    <row r="171" spans="1:38" ht="21" customHeight="1" x14ac:dyDescent="0.3">
      <c r="A171" s="172"/>
      <c r="B171" s="159">
        <v>27</v>
      </c>
      <c r="C171" s="159">
        <v>286.14</v>
      </c>
      <c r="D171" s="159">
        <v>16.45</v>
      </c>
      <c r="E171" s="160">
        <v>1.1939999999999999E-2</v>
      </c>
      <c r="F171" s="160">
        <v>5.2110000000000001E-5</v>
      </c>
      <c r="G171" s="159">
        <v>0.4365</v>
      </c>
      <c r="H171" s="159">
        <v>0.83</v>
      </c>
      <c r="I171" s="159">
        <v>352</v>
      </c>
      <c r="J171" s="220">
        <v>2.75</v>
      </c>
      <c r="K171" s="94"/>
      <c r="L171" s="174">
        <f t="shared" si="68"/>
        <v>1.2657297108924643</v>
      </c>
      <c r="M171" s="174">
        <f t="shared" si="69"/>
        <v>0.46026534941544156</v>
      </c>
      <c r="N171" s="174">
        <f t="shared" si="70"/>
        <v>0.18506806126372027</v>
      </c>
      <c r="O171" s="174">
        <f t="shared" si="51"/>
        <v>234.85136974366102</v>
      </c>
      <c r="P171" s="174">
        <f t="shared" si="52"/>
        <v>1.0578214815920695</v>
      </c>
      <c r="Q171" s="175">
        <f t="shared" si="53"/>
        <v>1.0578214815920695</v>
      </c>
      <c r="R171" s="176">
        <f t="shared" si="54"/>
        <v>1.2793779283743598</v>
      </c>
      <c r="S171" s="177">
        <f t="shared" si="55"/>
        <v>5.7158511002321655</v>
      </c>
      <c r="T171" s="177">
        <f t="shared" si="56"/>
        <v>6.9130130809078842</v>
      </c>
      <c r="U171" s="183"/>
      <c r="V171" s="178">
        <f t="shared" si="71"/>
        <v>1.1799118524813723E-2</v>
      </c>
      <c r="W171" s="179">
        <f t="shared" si="72"/>
        <v>5.0887550579749736E-5</v>
      </c>
      <c r="X171" s="180">
        <f t="shared" si="57"/>
        <v>1.1989525399163196E-2</v>
      </c>
      <c r="Y171" s="180">
        <f t="shared" si="58"/>
        <v>7.0788779243991518E-5</v>
      </c>
      <c r="Z171" s="181">
        <f t="shared" si="59"/>
        <v>1.0441021913986261</v>
      </c>
      <c r="AA171" s="181">
        <f t="shared" si="60"/>
        <v>1.1256323406339112E-3</v>
      </c>
      <c r="AB171" s="181">
        <f t="shared" si="61"/>
        <v>-4.5061403178775439E-2</v>
      </c>
      <c r="AC171" s="181">
        <f t="shared" si="73"/>
        <v>1.1847479739905529E-2</v>
      </c>
      <c r="AD171" s="181">
        <f t="shared" si="74"/>
        <v>6.9121378097757467E-5</v>
      </c>
      <c r="AE171" s="267"/>
      <c r="AF171" s="182">
        <f t="shared" si="62"/>
        <v>4.5042167850529282E-3</v>
      </c>
      <c r="AG171" s="182">
        <f t="shared" si="63"/>
        <v>5.3886834673083379E-3</v>
      </c>
      <c r="AH171" s="149">
        <f t="shared" si="64"/>
        <v>-5.1985538043704365</v>
      </c>
      <c r="AI171" s="149">
        <f t="shared" si="65"/>
        <v>5.2130235816969837</v>
      </c>
      <c r="AJ171" s="149">
        <f t="shared" si="66"/>
        <v>-1.5321074298919565E-2</v>
      </c>
      <c r="AK171" s="149">
        <f t="shared" si="67"/>
        <v>-3.8302685747298912E-3</v>
      </c>
      <c r="AL171" s="148">
        <f t="shared" si="75"/>
        <v>0.24063974028096952</v>
      </c>
    </row>
    <row r="172" spans="1:38" ht="21" customHeight="1" x14ac:dyDescent="0.3">
      <c r="A172" s="172"/>
      <c r="B172" s="159">
        <v>3</v>
      </c>
      <c r="C172" s="159">
        <v>69.72</v>
      </c>
      <c r="D172" s="159">
        <v>214.74</v>
      </c>
      <c r="E172" s="160">
        <v>1.1310000000000001E-2</v>
      </c>
      <c r="F172" s="160">
        <v>9.1329999999999995E-5</v>
      </c>
      <c r="G172" s="159">
        <v>0.80720000000000003</v>
      </c>
      <c r="H172" s="159">
        <v>0.56999999999999995</v>
      </c>
      <c r="I172" s="159">
        <v>166</v>
      </c>
      <c r="J172" s="220">
        <v>2.37</v>
      </c>
      <c r="K172" s="94"/>
      <c r="L172" s="174">
        <f t="shared" si="68"/>
        <v>0.81245379287467057</v>
      </c>
      <c r="M172" s="174">
        <f t="shared" si="69"/>
        <v>0.34280750754205508</v>
      </c>
      <c r="N172" s="174">
        <f t="shared" si="70"/>
        <v>6.444078323214282E-2</v>
      </c>
      <c r="O172" s="174">
        <f t="shared" si="51"/>
        <v>81.775353921589243</v>
      </c>
      <c r="P172" s="174">
        <f t="shared" si="52"/>
        <v>8.8702992105598996E-2</v>
      </c>
      <c r="Q172" s="175">
        <f t="shared" si="53"/>
        <v>8.8702992105598996E-2</v>
      </c>
      <c r="R172" s="176">
        <f t="shared" si="54"/>
        <v>0.44052778067701848</v>
      </c>
      <c r="S172" s="177">
        <f t="shared" si="55"/>
        <v>1.3765039413945899</v>
      </c>
      <c r="T172" s="177">
        <f t="shared" si="56"/>
        <v>6.8361642826415068</v>
      </c>
      <c r="U172" s="183"/>
      <c r="V172" s="178">
        <f t="shared" si="71"/>
        <v>1.1183514451552938E-2</v>
      </c>
      <c r="W172" s="179">
        <f t="shared" si="72"/>
        <v>8.9298641984297263E-5</v>
      </c>
      <c r="X172" s="180">
        <f t="shared" si="57"/>
        <v>1.1331759057651729E-2</v>
      </c>
      <c r="Y172" s="180">
        <f t="shared" si="58"/>
        <v>1.054575354798006E-4</v>
      </c>
      <c r="Z172" s="181">
        <f t="shared" si="59"/>
        <v>1.0440449252960395</v>
      </c>
      <c r="AA172" s="181">
        <f t="shared" si="60"/>
        <v>4.9453467757750043E-4</v>
      </c>
      <c r="AB172" s="181">
        <f t="shared" si="61"/>
        <v>-4.5002844782660326E-2</v>
      </c>
      <c r="AC172" s="181">
        <f t="shared" si="73"/>
        <v>1.1204789087421264E-2</v>
      </c>
      <c r="AD172" s="181">
        <f t="shared" si="74"/>
        <v>1.0310751650302504E-4</v>
      </c>
      <c r="AE172" s="267"/>
      <c r="AF172" s="182">
        <f t="shared" si="62"/>
        <v>1.0847154778523167E-3</v>
      </c>
      <c r="AG172" s="182">
        <f t="shared" si="63"/>
        <v>5.3836101874855822E-3</v>
      </c>
      <c r="AH172" s="149">
        <f t="shared" si="64"/>
        <v>-5.1808570528460969</v>
      </c>
      <c r="AI172" s="149">
        <f t="shared" si="65"/>
        <v>5.1843291365135489</v>
      </c>
      <c r="AJ172" s="149">
        <f t="shared" si="66"/>
        <v>-3.677094892766835E-3</v>
      </c>
      <c r="AK172" s="149">
        <f t="shared" si="67"/>
        <v>-9.1927372319170874E-4</v>
      </c>
      <c r="AL172" s="148">
        <f t="shared" si="75"/>
        <v>0.24405924158817011</v>
      </c>
    </row>
    <row r="173" spans="1:38" ht="21" customHeight="1" x14ac:dyDescent="0.3">
      <c r="A173" s="172"/>
      <c r="B173" s="159">
        <v>2</v>
      </c>
      <c r="C173" s="159">
        <v>69.569999999999993</v>
      </c>
      <c r="D173" s="159">
        <v>237.09</v>
      </c>
      <c r="E173" s="160">
        <v>1.1339999999999999E-2</v>
      </c>
      <c r="F173" s="160">
        <v>9.7219999999999994E-5</v>
      </c>
      <c r="G173" s="159">
        <v>0.85750000000000004</v>
      </c>
      <c r="H173" s="159">
        <v>0.52</v>
      </c>
      <c r="I173" s="159">
        <v>137</v>
      </c>
      <c r="J173" s="220">
        <v>3.08</v>
      </c>
      <c r="K173" s="94"/>
      <c r="L173" s="174">
        <f t="shared" si="68"/>
        <v>0.83191421591743253</v>
      </c>
      <c r="M173" s="174">
        <f t="shared" si="69"/>
        <v>0.27010201815501056</v>
      </c>
      <c r="N173" s="174">
        <f t="shared" si="70"/>
        <v>4.2508847042507028E-2</v>
      </c>
      <c r="O173" s="174">
        <f t="shared" si="51"/>
        <v>53.943726896941421</v>
      </c>
      <c r="P173" s="174">
        <f t="shared" si="52"/>
        <v>6.7274148475348058E-2</v>
      </c>
      <c r="Q173" s="175">
        <f t="shared" si="53"/>
        <v>6.7274148475348058E-2</v>
      </c>
      <c r="R173" s="176">
        <f t="shared" si="54"/>
        <v>0.29086956646390505</v>
      </c>
      <c r="S173" s="177">
        <f t="shared" si="55"/>
        <v>1.5825916992779594</v>
      </c>
      <c r="T173" s="177">
        <f t="shared" si="56"/>
        <v>6.8425654116906038</v>
      </c>
      <c r="U173" s="183"/>
      <c r="V173" s="178">
        <f t="shared" si="71"/>
        <v>1.1212846322700577E-2</v>
      </c>
      <c r="W173" s="179">
        <f t="shared" si="72"/>
        <v>9.5051997429654788E-5</v>
      </c>
      <c r="X173" s="180">
        <f t="shared" si="57"/>
        <v>1.136308044631334E-2</v>
      </c>
      <c r="Y173" s="180">
        <f t="shared" si="58"/>
        <v>1.1105237130529141E-4</v>
      </c>
      <c r="Z173" s="181">
        <f t="shared" si="59"/>
        <v>1.0440476521464714</v>
      </c>
      <c r="AA173" s="181">
        <f t="shared" si="60"/>
        <v>5.2456756925408786E-4</v>
      </c>
      <c r="AB173" s="181">
        <f t="shared" si="61"/>
        <v>-4.500563234155365E-2</v>
      </c>
      <c r="AC173" s="181">
        <f t="shared" si="73"/>
        <v>1.1235411560899401E-2</v>
      </c>
      <c r="AD173" s="181">
        <f t="shared" si="74"/>
        <v>1.0857095174999462E-4</v>
      </c>
      <c r="AE173" s="267"/>
      <c r="AF173" s="182">
        <f t="shared" si="62"/>
        <v>1.2471171783120247E-3</v>
      </c>
      <c r="AG173" s="182">
        <f t="shared" si="63"/>
        <v>5.3875516457486221E-3</v>
      </c>
      <c r="AH173" s="149">
        <f t="shared" si="64"/>
        <v>-5.1816975211723149</v>
      </c>
      <c r="AI173" s="149">
        <f t="shared" si="65"/>
        <v>5.1856901249511367</v>
      </c>
      <c r="AJ173" s="149">
        <f t="shared" si="66"/>
        <v>-4.2283089255228399E-3</v>
      </c>
      <c r="AK173" s="149">
        <f t="shared" si="67"/>
        <v>-1.05707723138071E-3</v>
      </c>
      <c r="AL173" s="148">
        <f t="shared" si="75"/>
        <v>0.24389683988771041</v>
      </c>
    </row>
    <row r="174" spans="1:38" ht="21" customHeight="1" x14ac:dyDescent="0.3">
      <c r="A174" s="172"/>
      <c r="B174" s="159">
        <v>40</v>
      </c>
      <c r="C174" s="159">
        <v>435.99</v>
      </c>
      <c r="D174" s="159">
        <v>455.81</v>
      </c>
      <c r="E174" s="160">
        <v>5.0569999999999997E-2</v>
      </c>
      <c r="F174" s="160">
        <v>1.2520000000000001E-4</v>
      </c>
      <c r="G174" s="159">
        <v>0.24759999999999999</v>
      </c>
      <c r="H174" s="159">
        <v>0.72</v>
      </c>
      <c r="I174" s="159">
        <v>269</v>
      </c>
      <c r="J174" s="220">
        <v>1.69</v>
      </c>
      <c r="K174" s="94"/>
      <c r="L174" s="174">
        <f t="shared" si="68"/>
        <v>0.89139103113021767</v>
      </c>
      <c r="M174" s="174">
        <f t="shared" si="69"/>
        <v>0.5274503142782353</v>
      </c>
      <c r="N174" s="174">
        <f t="shared" si="70"/>
        <v>0.15635353410725203</v>
      </c>
      <c r="O174" s="174">
        <f t="shared" si="51"/>
        <v>198.41263478210283</v>
      </c>
      <c r="P174" s="174">
        <f t="shared" si="52"/>
        <v>51.226054473877859</v>
      </c>
      <c r="Q174" s="175">
        <f t="shared" si="53"/>
        <v>51.226054473877859</v>
      </c>
      <c r="R174" s="176">
        <f t="shared" si="54"/>
        <v>9.4350001212129264</v>
      </c>
      <c r="S174" s="177">
        <f t="shared" si="55"/>
        <v>327.62965523209033</v>
      </c>
      <c r="T174" s="177">
        <f t="shared" si="56"/>
        <v>60.344015727466108</v>
      </c>
      <c r="U174" s="183"/>
      <c r="V174" s="178">
        <f t="shared" si="71"/>
        <v>4.8135773913209015E-2</v>
      </c>
      <c r="W174" s="179">
        <f t="shared" si="72"/>
        <v>1.1343689721395647E-4</v>
      </c>
      <c r="X174" s="180">
        <f t="shared" si="57"/>
        <v>5.2391133014077884E-2</v>
      </c>
      <c r="Y174" s="180">
        <f t="shared" si="58"/>
        <v>2.1698548795938137E-4</v>
      </c>
      <c r="Z174" s="181">
        <f t="shared" si="59"/>
        <v>1.0476226253539844</v>
      </c>
      <c r="AA174" s="181">
        <f t="shared" si="60"/>
        <v>4.1461134000304101E-2</v>
      </c>
      <c r="AB174" s="181">
        <f t="shared" si="61"/>
        <v>-4.873119226125279E-2</v>
      </c>
      <c r="AC174" s="181">
        <f t="shared" si="73"/>
        <v>4.9782947965390213E-2</v>
      </c>
      <c r="AD174" s="181">
        <f t="shared" si="74"/>
        <v>1.9591889767499267E-4</v>
      </c>
      <c r="AE174" s="267"/>
      <c r="AF174" s="182">
        <f t="shared" si="62"/>
        <v>0.25817939734601286</v>
      </c>
      <c r="AG174" s="182">
        <f t="shared" si="63"/>
        <v>1.2782409463446939E-2</v>
      </c>
      <c r="AH174" s="149">
        <f t="shared" si="64"/>
        <v>-6.5113846048226414</v>
      </c>
      <c r="AI174" s="149">
        <f t="shared" si="65"/>
        <v>7.5625624504616882</v>
      </c>
      <c r="AJ174" s="149">
        <f t="shared" si="66"/>
        <v>-1.0999737517374419</v>
      </c>
      <c r="AK174" s="149">
        <f t="shared" si="67"/>
        <v>-0.27499343793436049</v>
      </c>
      <c r="AL174" s="148">
        <f t="shared" si="75"/>
        <v>1.3035440279990429E-2</v>
      </c>
    </row>
    <row r="175" spans="1:38" ht="21" customHeight="1" x14ac:dyDescent="0.3">
      <c r="A175" s="172"/>
      <c r="B175" s="184"/>
      <c r="C175" s="94"/>
      <c r="D175" s="94"/>
      <c r="E175" s="185"/>
      <c r="F175" s="186"/>
      <c r="G175" s="185"/>
      <c r="H175" s="94"/>
      <c r="I175" s="184"/>
      <c r="J175" s="94"/>
      <c r="K175" s="94"/>
      <c r="L175" s="94"/>
      <c r="M175" s="94"/>
      <c r="N175" s="94"/>
      <c r="O175" s="94"/>
      <c r="P175" s="94"/>
      <c r="Q175" s="187"/>
      <c r="R175" s="187"/>
      <c r="S175" s="187"/>
      <c r="T175" s="187"/>
      <c r="U175" s="183"/>
      <c r="V175" s="183"/>
      <c r="W175" s="183"/>
      <c r="X175" s="185"/>
      <c r="Y175" s="94"/>
      <c r="Z175" s="172"/>
      <c r="AA175" s="172"/>
      <c r="AB175" s="172"/>
      <c r="AC175" s="172"/>
      <c r="AD175" s="172"/>
      <c r="AE175" s="267"/>
      <c r="AF175" s="172"/>
      <c r="AG175" s="172"/>
      <c r="AH175" s="172"/>
      <c r="AI175" s="172"/>
      <c r="AJ175" s="172"/>
      <c r="AK175" s="172"/>
      <c r="AL175" s="172"/>
    </row>
    <row r="176" spans="1:38" ht="21" customHeight="1" x14ac:dyDescent="0.3">
      <c r="A176" s="172"/>
      <c r="B176" s="184"/>
      <c r="C176" s="94"/>
      <c r="D176" s="94"/>
      <c r="E176" s="185"/>
      <c r="F176" s="186"/>
      <c r="G176" s="185"/>
      <c r="H176" s="94"/>
      <c r="I176" s="184"/>
      <c r="J176" s="94"/>
      <c r="K176" s="94"/>
      <c r="L176" s="94"/>
      <c r="M176" s="94"/>
      <c r="N176" s="94"/>
      <c r="O176" s="94"/>
      <c r="P176" s="94"/>
      <c r="Q176" s="187"/>
      <c r="R176" s="187"/>
      <c r="S176" s="187"/>
      <c r="T176" s="187"/>
      <c r="U176" s="183"/>
      <c r="V176" s="183"/>
      <c r="W176" s="183"/>
      <c r="X176" s="185"/>
      <c r="Y176" s="94"/>
      <c r="Z176" s="172"/>
      <c r="AA176" s="172"/>
      <c r="AB176" s="172"/>
      <c r="AC176" s="172"/>
      <c r="AD176" s="172"/>
      <c r="AE176" s="267"/>
      <c r="AF176" s="172"/>
      <c r="AG176" s="172"/>
      <c r="AH176" s="172"/>
      <c r="AI176" s="172"/>
      <c r="AJ176" s="172"/>
      <c r="AK176" s="172"/>
      <c r="AL176" s="172"/>
    </row>
    <row r="177" spans="1:38" ht="21" customHeight="1" x14ac:dyDescent="0.3">
      <c r="A177" s="172"/>
      <c r="B177" s="184"/>
      <c r="C177" s="94"/>
      <c r="D177" s="94"/>
      <c r="E177" s="185"/>
      <c r="F177" s="186"/>
      <c r="G177" s="185"/>
      <c r="H177" s="94"/>
      <c r="I177" s="184"/>
      <c r="J177" s="94"/>
      <c r="K177" s="94"/>
      <c r="L177" s="94"/>
      <c r="M177" s="94"/>
      <c r="N177" s="94"/>
      <c r="O177" s="94"/>
      <c r="P177" s="94"/>
      <c r="Q177" s="187"/>
      <c r="R177" s="187"/>
      <c r="S177" s="187"/>
      <c r="T177" s="187"/>
      <c r="U177" s="183"/>
      <c r="V177" s="183"/>
      <c r="W177" s="183"/>
      <c r="X177" s="185"/>
      <c r="Y177" s="94"/>
      <c r="Z177" s="172"/>
      <c r="AA177" s="172"/>
      <c r="AB177" s="172"/>
      <c r="AC177" s="172"/>
      <c r="AD177" s="172"/>
      <c r="AE177" s="267"/>
      <c r="AF177" s="172"/>
      <c r="AG177" s="172"/>
      <c r="AH177" s="172"/>
      <c r="AI177" s="172"/>
      <c r="AJ177" s="172"/>
      <c r="AK177" s="172"/>
      <c r="AL177" s="172"/>
    </row>
    <row r="178" spans="1:38" ht="21" customHeight="1" x14ac:dyDescent="0.3">
      <c r="A178" s="172"/>
      <c r="B178" s="184"/>
      <c r="C178" s="94"/>
      <c r="D178" s="94"/>
      <c r="E178" s="185"/>
      <c r="F178" s="186"/>
      <c r="G178" s="185"/>
      <c r="H178" s="94"/>
      <c r="I178" s="184"/>
      <c r="J178" s="94"/>
      <c r="K178" s="94"/>
      <c r="L178" s="94"/>
      <c r="M178" s="94"/>
      <c r="N178" s="94"/>
      <c r="O178" s="94"/>
      <c r="P178" s="94"/>
      <c r="Q178" s="187"/>
      <c r="R178" s="187"/>
      <c r="S178" s="187"/>
      <c r="T178" s="187"/>
      <c r="U178" s="183"/>
      <c r="V178" s="183"/>
      <c r="W178" s="183"/>
      <c r="X178" s="185"/>
      <c r="Y178" s="94"/>
      <c r="Z178" s="172"/>
      <c r="AA178" s="172"/>
      <c r="AB178" s="172"/>
      <c r="AC178" s="172"/>
      <c r="AD178" s="172"/>
      <c r="AE178" s="267"/>
      <c r="AF178" s="172"/>
      <c r="AG178" s="172"/>
      <c r="AH178" s="172"/>
      <c r="AI178" s="172"/>
      <c r="AJ178" s="172"/>
      <c r="AK178" s="172"/>
      <c r="AL178" s="172"/>
    </row>
    <row r="179" spans="1:38" ht="21" customHeight="1" x14ac:dyDescent="0.3">
      <c r="A179" s="172"/>
      <c r="B179" s="184"/>
      <c r="C179" s="94"/>
      <c r="D179" s="94"/>
      <c r="E179" s="185"/>
      <c r="F179" s="186"/>
      <c r="G179" s="185"/>
      <c r="H179" s="94"/>
      <c r="I179" s="184"/>
      <c r="J179" s="94"/>
      <c r="K179" s="94"/>
      <c r="L179" s="94"/>
      <c r="M179" s="94"/>
      <c r="N179" s="94"/>
      <c r="O179" s="94"/>
      <c r="P179" s="94"/>
      <c r="Q179" s="187"/>
      <c r="R179" s="187"/>
      <c r="S179" s="187"/>
      <c r="T179" s="187"/>
      <c r="U179" s="183"/>
      <c r="V179" s="183"/>
      <c r="W179" s="183"/>
      <c r="X179" s="185"/>
      <c r="Y179" s="94"/>
      <c r="Z179" s="172"/>
      <c r="AA179" s="172"/>
      <c r="AB179" s="172"/>
      <c r="AC179" s="172"/>
      <c r="AD179" s="172"/>
      <c r="AE179" s="267"/>
      <c r="AF179" s="172"/>
      <c r="AG179" s="172"/>
      <c r="AH179" s="172"/>
      <c r="AI179" s="172"/>
      <c r="AJ179" s="172"/>
      <c r="AK179" s="172"/>
      <c r="AL179" s="172"/>
    </row>
    <row r="180" spans="1:38" ht="21" customHeight="1" x14ac:dyDescent="0.3">
      <c r="A180" s="172"/>
      <c r="B180" s="184"/>
      <c r="C180" s="94"/>
      <c r="D180" s="94"/>
      <c r="E180" s="185"/>
      <c r="F180" s="186"/>
      <c r="G180" s="185"/>
      <c r="H180" s="94"/>
      <c r="I180" s="184"/>
      <c r="J180" s="94"/>
      <c r="K180" s="94"/>
      <c r="L180" s="94"/>
      <c r="M180" s="94"/>
      <c r="N180" s="94"/>
      <c r="O180" s="94"/>
      <c r="P180" s="94"/>
      <c r="Q180" s="187"/>
      <c r="R180" s="187"/>
      <c r="S180" s="187"/>
      <c r="T180" s="187"/>
      <c r="U180" s="183"/>
      <c r="V180" s="183"/>
      <c r="W180" s="183"/>
      <c r="X180" s="185"/>
      <c r="Y180" s="94"/>
      <c r="Z180" s="172"/>
      <c r="AA180" s="172"/>
      <c r="AB180" s="172"/>
      <c r="AC180" s="172"/>
      <c r="AD180" s="172"/>
      <c r="AE180" s="267"/>
      <c r="AF180" s="172"/>
      <c r="AG180" s="172"/>
      <c r="AH180" s="172"/>
      <c r="AI180" s="172"/>
      <c r="AJ180" s="172"/>
      <c r="AK180" s="172"/>
      <c r="AL180" s="172"/>
    </row>
    <row r="181" spans="1:38" ht="21" customHeight="1" x14ac:dyDescent="0.3">
      <c r="A181" s="172"/>
      <c r="B181" s="184"/>
      <c r="C181" s="94"/>
      <c r="D181" s="94"/>
      <c r="E181" s="185"/>
      <c r="F181" s="186"/>
      <c r="G181" s="185"/>
      <c r="H181" s="94"/>
      <c r="I181" s="184"/>
      <c r="J181" s="94"/>
      <c r="K181" s="94"/>
      <c r="L181" s="94"/>
      <c r="M181" s="94"/>
      <c r="N181" s="94"/>
      <c r="O181" s="94"/>
      <c r="P181" s="94"/>
      <c r="Q181" s="187"/>
      <c r="R181" s="187"/>
      <c r="S181" s="187"/>
      <c r="T181" s="187"/>
      <c r="U181" s="183"/>
      <c r="V181" s="183"/>
      <c r="W181" s="183"/>
      <c r="X181" s="185"/>
      <c r="Y181" s="94"/>
      <c r="Z181" s="172"/>
      <c r="AA181" s="172"/>
      <c r="AB181" s="172"/>
      <c r="AC181" s="172"/>
      <c r="AD181" s="172"/>
      <c r="AE181" s="267"/>
      <c r="AF181" s="172"/>
      <c r="AG181" s="172"/>
      <c r="AH181" s="172"/>
      <c r="AI181" s="172"/>
      <c r="AJ181" s="172"/>
      <c r="AK181" s="172"/>
      <c r="AL181" s="172"/>
    </row>
    <row r="182" spans="1:38" ht="21" customHeight="1" x14ac:dyDescent="0.3">
      <c r="A182" s="172"/>
      <c r="B182" s="184"/>
      <c r="C182" s="94"/>
      <c r="D182" s="94"/>
      <c r="E182" s="185"/>
      <c r="F182" s="186"/>
      <c r="G182" s="185"/>
      <c r="H182" s="94"/>
      <c r="I182" s="184"/>
      <c r="J182" s="94"/>
      <c r="K182" s="94"/>
      <c r="L182" s="94"/>
      <c r="M182" s="94"/>
      <c r="N182" s="94"/>
      <c r="O182" s="94"/>
      <c r="P182" s="94"/>
      <c r="Q182" s="187"/>
      <c r="R182" s="187"/>
      <c r="S182" s="187"/>
      <c r="T182" s="187"/>
      <c r="U182" s="183"/>
      <c r="V182" s="183"/>
      <c r="W182" s="183"/>
      <c r="X182" s="185"/>
      <c r="Y182" s="94"/>
      <c r="Z182" s="172"/>
      <c r="AA182" s="172"/>
      <c r="AB182" s="172"/>
      <c r="AC182" s="172"/>
      <c r="AD182" s="172"/>
      <c r="AE182" s="267"/>
      <c r="AF182" s="172"/>
      <c r="AG182" s="172"/>
      <c r="AH182" s="172"/>
      <c r="AI182" s="172"/>
      <c r="AJ182" s="172"/>
      <c r="AK182" s="172"/>
      <c r="AL182" s="172"/>
    </row>
    <row r="183" spans="1:38" ht="21" customHeight="1" x14ac:dyDescent="0.3">
      <c r="A183" s="172"/>
      <c r="B183" s="184"/>
      <c r="C183" s="94"/>
      <c r="D183" s="94"/>
      <c r="E183" s="185"/>
      <c r="F183" s="186"/>
      <c r="G183" s="185"/>
      <c r="H183" s="94"/>
      <c r="I183" s="184"/>
      <c r="J183" s="94"/>
      <c r="K183" s="94"/>
      <c r="L183" s="94"/>
      <c r="M183" s="94"/>
      <c r="N183" s="94"/>
      <c r="O183" s="94"/>
      <c r="P183" s="94"/>
      <c r="Q183" s="187"/>
      <c r="R183" s="187"/>
      <c r="S183" s="187"/>
      <c r="T183" s="187"/>
      <c r="U183" s="183"/>
      <c r="V183" s="183"/>
      <c r="W183" s="183"/>
      <c r="X183" s="185"/>
      <c r="Y183" s="94"/>
      <c r="Z183" s="172"/>
      <c r="AA183" s="172"/>
      <c r="AB183" s="172"/>
      <c r="AC183" s="172"/>
      <c r="AD183" s="172"/>
      <c r="AE183" s="267"/>
      <c r="AF183" s="172"/>
      <c r="AG183" s="172"/>
      <c r="AH183" s="172"/>
      <c r="AI183" s="172"/>
      <c r="AJ183" s="172"/>
      <c r="AK183" s="172"/>
      <c r="AL183" s="172"/>
    </row>
    <row r="184" spans="1:38" ht="21" customHeight="1" x14ac:dyDescent="0.3">
      <c r="A184" s="172"/>
      <c r="B184" s="184"/>
      <c r="C184" s="94"/>
      <c r="D184" s="94"/>
      <c r="E184" s="185"/>
      <c r="F184" s="186"/>
      <c r="G184" s="185"/>
      <c r="H184" s="94"/>
      <c r="I184" s="184"/>
      <c r="J184" s="94"/>
      <c r="K184" s="94"/>
      <c r="L184" s="94"/>
      <c r="M184" s="94"/>
      <c r="N184" s="94"/>
      <c r="O184" s="94"/>
      <c r="P184" s="94"/>
      <c r="Q184" s="187"/>
      <c r="R184" s="187"/>
      <c r="S184" s="187"/>
      <c r="T184" s="187"/>
      <c r="U184" s="183"/>
      <c r="V184" s="183"/>
      <c r="W184" s="183"/>
      <c r="X184" s="185"/>
      <c r="Y184" s="94"/>
      <c r="Z184" s="172"/>
      <c r="AA184" s="172"/>
      <c r="AB184" s="172"/>
      <c r="AC184" s="172"/>
      <c r="AD184" s="172"/>
      <c r="AE184" s="267"/>
      <c r="AF184" s="172"/>
      <c r="AG184" s="172"/>
      <c r="AH184" s="172"/>
      <c r="AI184" s="172"/>
      <c r="AJ184" s="172"/>
      <c r="AK184" s="172"/>
      <c r="AL184" s="172"/>
    </row>
    <row r="185" spans="1:38" ht="21" customHeight="1" x14ac:dyDescent="0.3">
      <c r="A185" s="172"/>
      <c r="B185" s="184"/>
      <c r="C185" s="94"/>
      <c r="D185" s="94"/>
      <c r="E185" s="185"/>
      <c r="F185" s="186"/>
      <c r="G185" s="185"/>
      <c r="H185" s="94"/>
      <c r="I185" s="184"/>
      <c r="J185" s="94"/>
      <c r="K185" s="94"/>
      <c r="L185" s="94"/>
      <c r="M185" s="94"/>
      <c r="N185" s="94"/>
      <c r="O185" s="94"/>
      <c r="P185" s="94"/>
      <c r="Q185" s="187"/>
      <c r="R185" s="187"/>
      <c r="S185" s="187"/>
      <c r="T185" s="187"/>
      <c r="U185" s="183"/>
      <c r="V185" s="183"/>
      <c r="W185" s="183"/>
      <c r="X185" s="185"/>
      <c r="Y185" s="94"/>
      <c r="Z185" s="172"/>
      <c r="AA185" s="172"/>
      <c r="AB185" s="172"/>
      <c r="AC185" s="172"/>
      <c r="AD185" s="172"/>
      <c r="AE185" s="267"/>
      <c r="AF185" s="172"/>
      <c r="AG185" s="172"/>
      <c r="AH185" s="172"/>
      <c r="AI185" s="172"/>
      <c r="AJ185" s="172"/>
      <c r="AK185" s="172"/>
      <c r="AL185" s="172"/>
    </row>
    <row r="186" spans="1:38" ht="21" customHeight="1" x14ac:dyDescent="0.3">
      <c r="A186" s="172"/>
      <c r="B186" s="184"/>
      <c r="C186" s="94"/>
      <c r="D186" s="94"/>
      <c r="E186" s="185"/>
      <c r="F186" s="186"/>
      <c r="G186" s="185"/>
      <c r="H186" s="94"/>
      <c r="I186" s="184"/>
      <c r="J186" s="94"/>
      <c r="K186" s="94"/>
      <c r="L186" s="94"/>
      <c r="M186" s="94"/>
      <c r="N186" s="94"/>
      <c r="O186" s="94"/>
      <c r="P186" s="94"/>
      <c r="Q186" s="187"/>
      <c r="R186" s="187"/>
      <c r="S186" s="187"/>
      <c r="T186" s="187"/>
      <c r="U186" s="183"/>
      <c r="V186" s="183"/>
      <c r="W186" s="183"/>
      <c r="X186" s="185"/>
      <c r="Y186" s="94"/>
      <c r="Z186" s="172"/>
      <c r="AA186" s="172"/>
      <c r="AB186" s="172"/>
      <c r="AC186" s="172"/>
      <c r="AD186" s="172"/>
      <c r="AE186" s="267"/>
      <c r="AF186" s="172"/>
      <c r="AG186" s="172"/>
      <c r="AH186" s="172"/>
      <c r="AI186" s="172"/>
      <c r="AJ186" s="172"/>
      <c r="AK186" s="172"/>
      <c r="AL186" s="172"/>
    </row>
    <row r="187" spans="1:38" ht="21" customHeight="1" x14ac:dyDescent="0.3">
      <c r="A187" s="172"/>
      <c r="B187" s="184"/>
      <c r="C187" s="94"/>
      <c r="D187" s="94"/>
      <c r="E187" s="185"/>
      <c r="F187" s="186"/>
      <c r="G187" s="185"/>
      <c r="H187" s="94"/>
      <c r="I187" s="184"/>
      <c r="J187" s="94"/>
      <c r="K187" s="94"/>
      <c r="L187" s="94"/>
      <c r="M187" s="94"/>
      <c r="N187" s="94"/>
      <c r="O187" s="94"/>
      <c r="P187" s="94"/>
      <c r="Q187" s="187"/>
      <c r="R187" s="187"/>
      <c r="S187" s="187"/>
      <c r="T187" s="187"/>
      <c r="U187" s="183"/>
      <c r="V187" s="183"/>
      <c r="W187" s="183"/>
      <c r="X187" s="185"/>
      <c r="Y187" s="94"/>
      <c r="Z187" s="172"/>
      <c r="AA187" s="172"/>
      <c r="AB187" s="172"/>
      <c r="AC187" s="172"/>
      <c r="AD187" s="172"/>
      <c r="AE187" s="267"/>
      <c r="AF187" s="172"/>
      <c r="AG187" s="172"/>
      <c r="AH187" s="172"/>
      <c r="AI187" s="172"/>
      <c r="AJ187" s="172"/>
      <c r="AK187" s="172"/>
      <c r="AL187" s="172"/>
    </row>
    <row r="188" spans="1:38" ht="21" customHeight="1" x14ac:dyDescent="0.3">
      <c r="A188" s="172"/>
      <c r="B188" s="184"/>
      <c r="C188" s="94"/>
      <c r="D188" s="94"/>
      <c r="E188" s="185"/>
      <c r="F188" s="186"/>
      <c r="G188" s="185"/>
      <c r="H188" s="94"/>
      <c r="I188" s="184"/>
      <c r="J188" s="94"/>
      <c r="K188" s="94"/>
      <c r="L188" s="94"/>
      <c r="M188" s="94"/>
      <c r="N188" s="94"/>
      <c r="O188" s="94"/>
      <c r="P188" s="94"/>
      <c r="Q188" s="187"/>
      <c r="R188" s="187"/>
      <c r="S188" s="187"/>
      <c r="T188" s="187"/>
      <c r="U188" s="183"/>
      <c r="V188" s="183"/>
      <c r="W188" s="183"/>
      <c r="X188" s="185"/>
      <c r="Y188" s="94"/>
      <c r="Z188" s="172"/>
      <c r="AA188" s="172"/>
      <c r="AB188" s="172"/>
      <c r="AC188" s="172"/>
      <c r="AD188" s="172"/>
      <c r="AE188" s="267"/>
      <c r="AF188" s="172"/>
      <c r="AG188" s="172"/>
      <c r="AH188" s="172"/>
      <c r="AI188" s="172"/>
      <c r="AJ188" s="172"/>
      <c r="AK188" s="172"/>
      <c r="AL188" s="172"/>
    </row>
    <row r="189" spans="1:38" ht="21" customHeight="1" x14ac:dyDescent="0.3">
      <c r="A189" s="172"/>
      <c r="B189" s="184"/>
      <c r="C189" s="94"/>
      <c r="D189" s="94"/>
      <c r="E189" s="185"/>
      <c r="F189" s="186"/>
      <c r="G189" s="185"/>
      <c r="H189" s="94"/>
      <c r="I189" s="184"/>
      <c r="J189" s="94"/>
      <c r="K189" s="94"/>
      <c r="L189" s="94"/>
      <c r="M189" s="94"/>
      <c r="N189" s="94"/>
      <c r="O189" s="94"/>
      <c r="P189" s="94"/>
      <c r="Q189" s="187"/>
      <c r="R189" s="187"/>
      <c r="S189" s="187"/>
      <c r="T189" s="187"/>
      <c r="U189" s="183"/>
      <c r="V189" s="183"/>
      <c r="W189" s="183"/>
      <c r="X189" s="185"/>
      <c r="Y189" s="94"/>
      <c r="Z189" s="172"/>
      <c r="AA189" s="172"/>
      <c r="AB189" s="172"/>
      <c r="AC189" s="172"/>
      <c r="AD189" s="172"/>
      <c r="AE189" s="267"/>
      <c r="AF189" s="172"/>
      <c r="AG189" s="172"/>
      <c r="AH189" s="172"/>
      <c r="AI189" s="172"/>
      <c r="AJ189" s="172"/>
      <c r="AK189" s="172"/>
      <c r="AL189" s="172"/>
    </row>
    <row r="190" spans="1:38" ht="21" customHeight="1" x14ac:dyDescent="0.3">
      <c r="A190" s="172"/>
      <c r="B190" s="184"/>
      <c r="C190" s="94"/>
      <c r="D190" s="94"/>
      <c r="E190" s="185"/>
      <c r="F190" s="186"/>
      <c r="G190" s="185"/>
      <c r="H190" s="94"/>
      <c r="I190" s="184"/>
      <c r="J190" s="94"/>
      <c r="K190" s="94"/>
      <c r="L190" s="94"/>
      <c r="M190" s="94"/>
      <c r="N190" s="94"/>
      <c r="O190" s="94"/>
      <c r="P190" s="94"/>
      <c r="Q190" s="187"/>
      <c r="R190" s="187"/>
      <c r="S190" s="187"/>
      <c r="T190" s="187"/>
      <c r="U190" s="183"/>
      <c r="V190" s="183"/>
      <c r="W190" s="183"/>
      <c r="X190" s="185"/>
      <c r="Y190" s="94"/>
      <c r="Z190" s="172"/>
      <c r="AA190" s="172"/>
      <c r="AB190" s="172"/>
      <c r="AC190" s="172"/>
      <c r="AD190" s="172"/>
      <c r="AE190" s="267"/>
      <c r="AF190" s="172"/>
      <c r="AG190" s="172"/>
      <c r="AH190" s="172"/>
      <c r="AI190" s="172"/>
      <c r="AJ190" s="172"/>
      <c r="AK190" s="172"/>
      <c r="AL190" s="172"/>
    </row>
    <row r="191" spans="1:38" ht="21" customHeight="1" x14ac:dyDescent="0.3">
      <c r="A191" s="172"/>
      <c r="B191" s="184"/>
      <c r="C191" s="94"/>
      <c r="D191" s="94"/>
      <c r="E191" s="185"/>
      <c r="F191" s="186"/>
      <c r="G191" s="185"/>
      <c r="H191" s="94"/>
      <c r="I191" s="184"/>
      <c r="J191" s="94"/>
      <c r="K191" s="94"/>
      <c r="L191" s="94"/>
      <c r="M191" s="94"/>
      <c r="N191" s="94"/>
      <c r="O191" s="94"/>
      <c r="P191" s="94"/>
      <c r="Q191" s="187"/>
      <c r="R191" s="187"/>
      <c r="S191" s="187"/>
      <c r="T191" s="187"/>
      <c r="U191" s="183"/>
      <c r="V191" s="183"/>
      <c r="W191" s="183"/>
      <c r="X191" s="185"/>
      <c r="Y191" s="94"/>
      <c r="Z191" s="172"/>
      <c r="AA191" s="172"/>
      <c r="AB191" s="172"/>
      <c r="AC191" s="172"/>
      <c r="AD191" s="172"/>
      <c r="AE191" s="267"/>
      <c r="AF191" s="172"/>
      <c r="AG191" s="172"/>
      <c r="AH191" s="172"/>
      <c r="AI191" s="172"/>
      <c r="AJ191" s="172"/>
      <c r="AK191" s="172"/>
      <c r="AL191" s="172"/>
    </row>
    <row r="192" spans="1:38" ht="21" customHeight="1" x14ac:dyDescent="0.3">
      <c r="A192" s="172"/>
      <c r="B192" s="184"/>
      <c r="C192" s="94"/>
      <c r="D192" s="94"/>
      <c r="E192" s="185"/>
      <c r="F192" s="186"/>
      <c r="G192" s="185"/>
      <c r="H192" s="94"/>
      <c r="I192" s="184"/>
      <c r="J192" s="94"/>
      <c r="K192" s="94"/>
      <c r="L192" s="94"/>
      <c r="M192" s="94"/>
      <c r="N192" s="94"/>
      <c r="O192" s="94"/>
      <c r="P192" s="94"/>
      <c r="Q192" s="187"/>
      <c r="R192" s="187"/>
      <c r="S192" s="187"/>
      <c r="T192" s="187"/>
      <c r="U192" s="183"/>
      <c r="V192" s="183"/>
      <c r="W192" s="183"/>
      <c r="X192" s="185"/>
      <c r="Y192" s="94"/>
      <c r="Z192" s="172"/>
      <c r="AA192" s="172"/>
      <c r="AB192" s="172"/>
      <c r="AC192" s="172"/>
      <c r="AD192" s="172"/>
      <c r="AE192" s="267"/>
      <c r="AF192" s="172"/>
      <c r="AG192" s="172"/>
      <c r="AH192" s="172"/>
      <c r="AI192" s="172"/>
      <c r="AJ192" s="172"/>
      <c r="AK192" s="172"/>
      <c r="AL192" s="172"/>
    </row>
    <row r="193" spans="1:38" ht="21" customHeight="1" x14ac:dyDescent="0.3">
      <c r="A193" s="172"/>
      <c r="B193" s="184"/>
      <c r="C193" s="94"/>
      <c r="D193" s="94"/>
      <c r="E193" s="185"/>
      <c r="F193" s="186"/>
      <c r="G193" s="185"/>
      <c r="H193" s="94"/>
      <c r="I193" s="184"/>
      <c r="J193" s="94"/>
      <c r="K193" s="94"/>
      <c r="L193" s="94"/>
      <c r="M193" s="94"/>
      <c r="N193" s="94"/>
      <c r="O193" s="94"/>
      <c r="P193" s="94"/>
      <c r="Q193" s="187"/>
      <c r="R193" s="187"/>
      <c r="S193" s="187"/>
      <c r="T193" s="187"/>
      <c r="U193" s="183"/>
      <c r="V193" s="183"/>
      <c r="W193" s="183"/>
      <c r="X193" s="185"/>
      <c r="Y193" s="94"/>
      <c r="Z193" s="172"/>
      <c r="AA193" s="172"/>
      <c r="AB193" s="172"/>
      <c r="AC193" s="172"/>
      <c r="AD193" s="172"/>
      <c r="AE193" s="267"/>
      <c r="AF193" s="172"/>
      <c r="AG193" s="172"/>
      <c r="AH193" s="172"/>
      <c r="AI193" s="172"/>
      <c r="AJ193" s="172"/>
      <c r="AK193" s="172"/>
      <c r="AL193" s="172"/>
    </row>
    <row r="194" spans="1:38" ht="21" customHeight="1" x14ac:dyDescent="0.3">
      <c r="A194" s="172"/>
      <c r="B194" s="184"/>
      <c r="C194" s="94"/>
      <c r="D194" s="94"/>
      <c r="E194" s="185"/>
      <c r="F194" s="186"/>
      <c r="G194" s="185"/>
      <c r="H194" s="94"/>
      <c r="I194" s="184"/>
      <c r="J194" s="94"/>
      <c r="K194" s="94"/>
      <c r="L194" s="94"/>
      <c r="M194" s="94"/>
      <c r="N194" s="94"/>
      <c r="O194" s="94"/>
      <c r="P194" s="94"/>
      <c r="Q194" s="187"/>
      <c r="R194" s="187"/>
      <c r="S194" s="187"/>
      <c r="T194" s="187"/>
      <c r="U194" s="183"/>
      <c r="V194" s="183"/>
      <c r="W194" s="183"/>
      <c r="X194" s="185"/>
      <c r="Y194" s="94"/>
      <c r="Z194" s="172"/>
      <c r="AA194" s="172"/>
      <c r="AB194" s="172"/>
      <c r="AC194" s="172"/>
      <c r="AD194" s="172"/>
      <c r="AE194" s="267"/>
      <c r="AF194" s="172"/>
      <c r="AG194" s="172"/>
      <c r="AH194" s="172"/>
      <c r="AI194" s="172"/>
      <c r="AJ194" s="172"/>
      <c r="AK194" s="172"/>
      <c r="AL194" s="172"/>
    </row>
    <row r="195" spans="1:38" ht="21" customHeight="1" x14ac:dyDescent="0.3">
      <c r="A195" s="172"/>
      <c r="B195" s="184"/>
      <c r="C195" s="94"/>
      <c r="D195" s="94"/>
      <c r="E195" s="185"/>
      <c r="F195" s="186"/>
      <c r="G195" s="185"/>
      <c r="H195" s="94"/>
      <c r="I195" s="184"/>
      <c r="J195" s="94"/>
      <c r="K195" s="94"/>
      <c r="L195" s="94"/>
      <c r="M195" s="94"/>
      <c r="N195" s="94"/>
      <c r="O195" s="94"/>
      <c r="P195" s="94"/>
      <c r="Q195" s="187"/>
      <c r="R195" s="187"/>
      <c r="S195" s="187"/>
      <c r="T195" s="187"/>
      <c r="U195" s="183"/>
      <c r="V195" s="183"/>
      <c r="W195" s="183"/>
      <c r="X195" s="185"/>
      <c r="Y195" s="94"/>
      <c r="Z195" s="172"/>
      <c r="AA195" s="172"/>
      <c r="AB195" s="172"/>
      <c r="AC195" s="172"/>
      <c r="AD195" s="172"/>
      <c r="AE195" s="267"/>
      <c r="AF195" s="172"/>
      <c r="AG195" s="172"/>
      <c r="AH195" s="172"/>
      <c r="AI195" s="172"/>
      <c r="AJ195" s="172"/>
      <c r="AK195" s="172"/>
      <c r="AL195" s="172"/>
    </row>
    <row r="196" spans="1:38" ht="21" customHeight="1" x14ac:dyDescent="0.3">
      <c r="A196" s="172"/>
      <c r="B196" s="184"/>
      <c r="C196" s="94"/>
      <c r="D196" s="94"/>
      <c r="E196" s="185"/>
      <c r="F196" s="186"/>
      <c r="G196" s="185"/>
      <c r="H196" s="94"/>
      <c r="I196" s="184"/>
      <c r="J196" s="94"/>
      <c r="K196" s="94"/>
      <c r="L196" s="94"/>
      <c r="M196" s="94"/>
      <c r="N196" s="94"/>
      <c r="O196" s="94"/>
      <c r="P196" s="94"/>
      <c r="Q196" s="187"/>
      <c r="R196" s="187"/>
      <c r="S196" s="187"/>
      <c r="T196" s="187"/>
      <c r="U196" s="183"/>
      <c r="V196" s="183"/>
      <c r="W196" s="183"/>
      <c r="X196" s="185"/>
      <c r="Y196" s="94"/>
      <c r="Z196" s="172"/>
      <c r="AA196" s="172"/>
      <c r="AB196" s="172"/>
      <c r="AC196" s="172"/>
      <c r="AD196" s="172"/>
      <c r="AE196" s="267"/>
      <c r="AF196" s="172"/>
      <c r="AG196" s="172"/>
      <c r="AH196" s="172"/>
      <c r="AI196" s="172"/>
      <c r="AJ196" s="172"/>
      <c r="AK196" s="172"/>
      <c r="AL196" s="172"/>
    </row>
    <row r="197" spans="1:38" ht="21" customHeight="1" x14ac:dyDescent="0.3">
      <c r="A197" s="172"/>
      <c r="B197" s="184"/>
      <c r="C197" s="94"/>
      <c r="D197" s="94"/>
      <c r="E197" s="185"/>
      <c r="F197" s="186"/>
      <c r="G197" s="185"/>
      <c r="H197" s="94"/>
      <c r="I197" s="184"/>
      <c r="J197" s="94"/>
      <c r="K197" s="94"/>
      <c r="L197" s="94"/>
      <c r="M197" s="94"/>
      <c r="N197" s="94"/>
      <c r="O197" s="94"/>
      <c r="P197" s="94"/>
      <c r="Q197" s="187"/>
      <c r="R197" s="187"/>
      <c r="S197" s="187"/>
      <c r="T197" s="187"/>
      <c r="U197" s="183"/>
      <c r="V197" s="183"/>
      <c r="W197" s="183"/>
      <c r="X197" s="185"/>
      <c r="Y197" s="94"/>
      <c r="Z197" s="172"/>
      <c r="AA197" s="172"/>
      <c r="AB197" s="172"/>
      <c r="AC197" s="172"/>
      <c r="AD197" s="172"/>
      <c r="AE197" s="267"/>
      <c r="AF197" s="172"/>
      <c r="AG197" s="172"/>
      <c r="AH197" s="172"/>
      <c r="AI197" s="172"/>
      <c r="AJ197" s="172"/>
      <c r="AK197" s="172"/>
      <c r="AL197" s="172"/>
    </row>
    <row r="198" spans="1:38" ht="21" customHeight="1" x14ac:dyDescent="0.3">
      <c r="A198" s="172"/>
      <c r="B198" s="184"/>
      <c r="C198" s="94"/>
      <c r="D198" s="94"/>
      <c r="E198" s="185"/>
      <c r="F198" s="186"/>
      <c r="G198" s="185"/>
      <c r="H198" s="94"/>
      <c r="I198" s="184"/>
      <c r="J198" s="94"/>
      <c r="K198" s="94"/>
      <c r="L198" s="94"/>
      <c r="M198" s="94"/>
      <c r="N198" s="94"/>
      <c r="O198" s="94"/>
      <c r="P198" s="94"/>
      <c r="Q198" s="187"/>
      <c r="R198" s="187"/>
      <c r="S198" s="187"/>
      <c r="T198" s="187"/>
      <c r="U198" s="183"/>
      <c r="V198" s="183"/>
      <c r="W198" s="183"/>
      <c r="X198" s="185"/>
      <c r="Y198" s="94"/>
      <c r="Z198" s="172"/>
      <c r="AA198" s="172"/>
      <c r="AB198" s="172"/>
      <c r="AC198" s="172"/>
      <c r="AD198" s="172"/>
      <c r="AE198" s="267"/>
      <c r="AF198" s="172"/>
      <c r="AG198" s="172"/>
      <c r="AH198" s="172"/>
      <c r="AI198" s="172"/>
      <c r="AJ198" s="172"/>
      <c r="AK198" s="172"/>
      <c r="AL198" s="172"/>
    </row>
    <row r="199" spans="1:38" ht="21" customHeight="1" x14ac:dyDescent="0.3">
      <c r="A199" s="172"/>
      <c r="B199" s="184"/>
      <c r="C199" s="94"/>
      <c r="D199" s="94"/>
      <c r="E199" s="185"/>
      <c r="F199" s="186"/>
      <c r="G199" s="185"/>
      <c r="H199" s="94"/>
      <c r="I199" s="184"/>
      <c r="J199" s="94"/>
      <c r="K199" s="94"/>
      <c r="L199" s="94"/>
      <c r="M199" s="94"/>
      <c r="N199" s="94"/>
      <c r="O199" s="94"/>
      <c r="P199" s="94"/>
      <c r="Q199" s="187"/>
      <c r="R199" s="187"/>
      <c r="S199" s="187"/>
      <c r="T199" s="187"/>
      <c r="U199" s="183"/>
      <c r="V199" s="183"/>
      <c r="W199" s="183"/>
      <c r="X199" s="185"/>
      <c r="Y199" s="94"/>
      <c r="Z199" s="172"/>
      <c r="AA199" s="172"/>
      <c r="AB199" s="172"/>
      <c r="AC199" s="172"/>
      <c r="AD199" s="172"/>
      <c r="AE199" s="267"/>
      <c r="AF199" s="172"/>
      <c r="AG199" s="172"/>
      <c r="AH199" s="172"/>
      <c r="AI199" s="172"/>
      <c r="AJ199" s="172"/>
      <c r="AK199" s="172"/>
      <c r="AL199" s="172"/>
    </row>
    <row r="200" spans="1:38" ht="21" customHeight="1" x14ac:dyDescent="0.3">
      <c r="A200" s="172"/>
      <c r="B200" s="184"/>
      <c r="C200" s="94"/>
      <c r="D200" s="94"/>
      <c r="E200" s="185"/>
      <c r="F200" s="186"/>
      <c r="G200" s="185"/>
      <c r="H200" s="94"/>
      <c r="I200" s="184"/>
      <c r="J200" s="94"/>
      <c r="K200" s="94"/>
      <c r="L200" s="94"/>
      <c r="M200" s="94"/>
      <c r="N200" s="94"/>
      <c r="O200" s="94"/>
      <c r="P200" s="94"/>
      <c r="Q200" s="187"/>
      <c r="R200" s="187"/>
      <c r="S200" s="187"/>
      <c r="T200" s="187"/>
      <c r="U200" s="183"/>
      <c r="V200" s="183"/>
      <c r="W200" s="183"/>
      <c r="X200" s="185"/>
      <c r="Y200" s="94"/>
      <c r="Z200" s="172"/>
      <c r="AA200" s="172"/>
      <c r="AB200" s="172"/>
      <c r="AC200" s="172"/>
      <c r="AD200" s="172"/>
      <c r="AE200" s="267"/>
      <c r="AF200" s="172"/>
      <c r="AG200" s="172"/>
      <c r="AH200" s="172"/>
      <c r="AI200" s="172"/>
      <c r="AJ200" s="172"/>
      <c r="AK200" s="172"/>
      <c r="AL200" s="172"/>
    </row>
    <row r="201" spans="1:38" ht="21" customHeight="1" x14ac:dyDescent="0.3">
      <c r="A201" s="172"/>
      <c r="B201" s="184"/>
      <c r="C201" s="94"/>
      <c r="D201" s="94"/>
      <c r="E201" s="185"/>
      <c r="F201" s="186"/>
      <c r="G201" s="185"/>
      <c r="H201" s="94"/>
      <c r="I201" s="184"/>
      <c r="J201" s="94"/>
      <c r="K201" s="94"/>
      <c r="L201" s="94"/>
      <c r="M201" s="94"/>
      <c r="N201" s="94"/>
      <c r="O201" s="94"/>
      <c r="P201" s="94"/>
      <c r="Q201" s="187"/>
      <c r="R201" s="187"/>
      <c r="S201" s="187"/>
      <c r="T201" s="187"/>
      <c r="U201" s="183"/>
      <c r="V201" s="183"/>
      <c r="W201" s="183"/>
      <c r="X201" s="185"/>
      <c r="Y201" s="94"/>
      <c r="Z201" s="172"/>
      <c r="AA201" s="172"/>
      <c r="AB201" s="172"/>
      <c r="AC201" s="172"/>
      <c r="AD201" s="172"/>
      <c r="AE201" s="267"/>
      <c r="AF201" s="172"/>
      <c r="AG201" s="172"/>
      <c r="AH201" s="172"/>
      <c r="AI201" s="172"/>
      <c r="AJ201" s="172"/>
      <c r="AK201" s="172"/>
      <c r="AL201" s="172"/>
    </row>
    <row r="202" spans="1:38" ht="21" customHeight="1" x14ac:dyDescent="0.3">
      <c r="A202" s="172"/>
      <c r="B202" s="184"/>
      <c r="C202" s="94"/>
      <c r="D202" s="94"/>
      <c r="E202" s="185"/>
      <c r="F202" s="186"/>
      <c r="G202" s="185"/>
      <c r="H202" s="94"/>
      <c r="I202" s="184"/>
      <c r="J202" s="94"/>
      <c r="K202" s="94"/>
      <c r="L202" s="94"/>
      <c r="M202" s="94"/>
      <c r="N202" s="94"/>
      <c r="O202" s="94"/>
      <c r="P202" s="94"/>
      <c r="Q202" s="187"/>
      <c r="R202" s="187"/>
      <c r="S202" s="187"/>
      <c r="T202" s="187"/>
      <c r="U202" s="183"/>
      <c r="V202" s="183"/>
      <c r="W202" s="183"/>
      <c r="X202" s="185"/>
      <c r="Y202" s="94"/>
      <c r="Z202" s="172"/>
      <c r="AA202" s="172"/>
      <c r="AB202" s="172"/>
      <c r="AC202" s="172"/>
      <c r="AD202" s="172"/>
      <c r="AE202" s="267"/>
      <c r="AF202" s="172"/>
      <c r="AG202" s="172"/>
      <c r="AH202" s="172"/>
      <c r="AI202" s="172"/>
      <c r="AJ202" s="172"/>
      <c r="AK202" s="172"/>
      <c r="AL202" s="172"/>
    </row>
    <row r="203" spans="1:38" ht="21" customHeight="1" x14ac:dyDescent="0.3">
      <c r="A203" s="172"/>
      <c r="B203" s="184"/>
      <c r="C203" s="94"/>
      <c r="D203" s="94"/>
      <c r="E203" s="185"/>
      <c r="F203" s="186"/>
      <c r="G203" s="185"/>
      <c r="H203" s="94"/>
      <c r="I203" s="184"/>
      <c r="J203" s="94"/>
      <c r="K203" s="94"/>
      <c r="L203" s="94"/>
      <c r="M203" s="94"/>
      <c r="N203" s="94"/>
      <c r="O203" s="94"/>
      <c r="P203" s="94"/>
      <c r="Q203" s="187"/>
      <c r="R203" s="187"/>
      <c r="S203" s="187"/>
      <c r="T203" s="187"/>
      <c r="U203" s="183"/>
      <c r="V203" s="183"/>
      <c r="W203" s="183"/>
      <c r="X203" s="185"/>
      <c r="Y203" s="94"/>
      <c r="Z203" s="172"/>
      <c r="AA203" s="172"/>
      <c r="AB203" s="172"/>
      <c r="AC203" s="172"/>
      <c r="AD203" s="172"/>
      <c r="AE203" s="267"/>
      <c r="AF203" s="172"/>
      <c r="AG203" s="172"/>
      <c r="AH203" s="172"/>
      <c r="AI203" s="172"/>
      <c r="AJ203" s="172"/>
      <c r="AK203" s="172"/>
      <c r="AL203" s="172"/>
    </row>
    <row r="204" spans="1:38" ht="21" customHeight="1" x14ac:dyDescent="0.3">
      <c r="A204" s="172"/>
      <c r="B204" s="184"/>
      <c r="C204" s="94"/>
      <c r="D204" s="94"/>
      <c r="E204" s="185"/>
      <c r="F204" s="186"/>
      <c r="G204" s="185"/>
      <c r="H204" s="94"/>
      <c r="I204" s="184"/>
      <c r="J204" s="94"/>
      <c r="K204" s="94"/>
      <c r="L204" s="94"/>
      <c r="M204" s="94"/>
      <c r="N204" s="94"/>
      <c r="O204" s="94"/>
      <c r="P204" s="94"/>
      <c r="Q204" s="187"/>
      <c r="R204" s="187"/>
      <c r="S204" s="187"/>
      <c r="T204" s="187"/>
      <c r="U204" s="183"/>
      <c r="V204" s="183"/>
      <c r="W204" s="183"/>
      <c r="X204" s="185"/>
      <c r="Y204" s="94"/>
      <c r="Z204" s="172"/>
      <c r="AA204" s="172"/>
      <c r="AB204" s="172"/>
      <c r="AC204" s="172"/>
      <c r="AD204" s="172"/>
      <c r="AE204" s="267"/>
      <c r="AF204" s="172"/>
      <c r="AG204" s="172"/>
      <c r="AH204" s="172"/>
      <c r="AI204" s="172"/>
      <c r="AJ204" s="172"/>
      <c r="AK204" s="172"/>
      <c r="AL204" s="172"/>
    </row>
    <row r="205" spans="1:38" ht="21" customHeight="1" x14ac:dyDescent="0.3">
      <c r="A205" s="172"/>
      <c r="B205" s="184"/>
      <c r="C205" s="94"/>
      <c r="D205" s="94"/>
      <c r="E205" s="185"/>
      <c r="F205" s="186"/>
      <c r="G205" s="185"/>
      <c r="H205" s="94"/>
      <c r="I205" s="184"/>
      <c r="J205" s="94"/>
      <c r="K205" s="94"/>
      <c r="L205" s="94"/>
      <c r="M205" s="94"/>
      <c r="N205" s="94"/>
      <c r="O205" s="94"/>
      <c r="P205" s="94"/>
      <c r="Q205" s="187"/>
      <c r="R205" s="187"/>
      <c r="S205" s="187"/>
      <c r="T205" s="187"/>
      <c r="U205" s="183"/>
      <c r="V205" s="183"/>
      <c r="W205" s="183"/>
      <c r="X205" s="185"/>
      <c r="Y205" s="94"/>
      <c r="Z205" s="172"/>
      <c r="AA205" s="172"/>
      <c r="AB205" s="172"/>
      <c r="AC205" s="172"/>
      <c r="AD205" s="172"/>
      <c r="AE205" s="267"/>
      <c r="AF205" s="172"/>
      <c r="AG205" s="172"/>
      <c r="AH205" s="172"/>
      <c r="AI205" s="172"/>
      <c r="AJ205" s="172"/>
      <c r="AK205" s="172"/>
      <c r="AL205" s="172"/>
    </row>
    <row r="206" spans="1:38" ht="21" customHeight="1" x14ac:dyDescent="0.3">
      <c r="A206" s="172"/>
      <c r="B206" s="184"/>
      <c r="C206" s="94"/>
      <c r="D206" s="94"/>
      <c r="E206" s="185"/>
      <c r="F206" s="186"/>
      <c r="G206" s="185"/>
      <c r="H206" s="94"/>
      <c r="I206" s="184"/>
      <c r="J206" s="94"/>
      <c r="K206" s="94"/>
      <c r="L206" s="94"/>
      <c r="M206" s="94"/>
      <c r="N206" s="94"/>
      <c r="O206" s="94"/>
      <c r="P206" s="94"/>
      <c r="Q206" s="187"/>
      <c r="R206" s="187"/>
      <c r="S206" s="187"/>
      <c r="T206" s="187"/>
      <c r="U206" s="183"/>
      <c r="V206" s="183"/>
      <c r="W206" s="183"/>
      <c r="X206" s="185"/>
      <c r="Y206" s="94"/>
      <c r="Z206" s="172"/>
      <c r="AA206" s="172"/>
      <c r="AB206" s="172"/>
      <c r="AC206" s="172"/>
      <c r="AD206" s="172"/>
      <c r="AE206" s="267"/>
      <c r="AF206" s="172"/>
      <c r="AG206" s="172"/>
      <c r="AH206" s="172"/>
      <c r="AI206" s="172"/>
      <c r="AJ206" s="172"/>
      <c r="AK206" s="172"/>
      <c r="AL206" s="172"/>
    </row>
    <row r="207" spans="1:38" ht="21" customHeight="1" x14ac:dyDescent="0.3">
      <c r="A207" s="172"/>
      <c r="B207" s="184"/>
      <c r="C207" s="94"/>
      <c r="D207" s="94"/>
      <c r="E207" s="185"/>
      <c r="F207" s="186"/>
      <c r="G207" s="185"/>
      <c r="H207" s="94"/>
      <c r="I207" s="184"/>
      <c r="J207" s="94"/>
      <c r="K207" s="94"/>
      <c r="L207" s="94"/>
      <c r="M207" s="94"/>
      <c r="N207" s="94"/>
      <c r="O207" s="94"/>
      <c r="P207" s="94"/>
      <c r="Q207" s="187"/>
      <c r="R207" s="187"/>
      <c r="S207" s="187"/>
      <c r="T207" s="187"/>
      <c r="U207" s="183"/>
      <c r="V207" s="183"/>
      <c r="W207" s="183"/>
      <c r="X207" s="185"/>
      <c r="Y207" s="94"/>
      <c r="Z207" s="172"/>
      <c r="AA207" s="172"/>
      <c r="AB207" s="172"/>
      <c r="AC207" s="172"/>
      <c r="AD207" s="172"/>
      <c r="AE207" s="267"/>
      <c r="AF207" s="172"/>
      <c r="AG207" s="172"/>
      <c r="AH207" s="172"/>
      <c r="AI207" s="172"/>
      <c r="AJ207" s="172"/>
      <c r="AK207" s="172"/>
      <c r="AL207" s="172"/>
    </row>
    <row r="208" spans="1:38" ht="21" customHeight="1" x14ac:dyDescent="0.3">
      <c r="A208" s="172"/>
      <c r="B208" s="184"/>
      <c r="C208" s="94"/>
      <c r="D208" s="94"/>
      <c r="E208" s="185"/>
      <c r="F208" s="186"/>
      <c r="G208" s="185"/>
      <c r="H208" s="94"/>
      <c r="I208" s="184"/>
      <c r="J208" s="94"/>
      <c r="K208" s="94"/>
      <c r="L208" s="94"/>
      <c r="M208" s="94"/>
      <c r="N208" s="94"/>
      <c r="O208" s="94"/>
      <c r="P208" s="94"/>
      <c r="Q208" s="187"/>
      <c r="R208" s="187"/>
      <c r="S208" s="187"/>
      <c r="T208" s="187"/>
      <c r="U208" s="183"/>
      <c r="V208" s="183"/>
      <c r="W208" s="183"/>
      <c r="X208" s="185"/>
      <c r="Y208" s="94"/>
      <c r="Z208" s="172"/>
      <c r="AA208" s="172"/>
      <c r="AB208" s="172"/>
      <c r="AC208" s="172"/>
      <c r="AD208" s="172"/>
      <c r="AE208" s="267"/>
      <c r="AF208" s="172"/>
      <c r="AG208" s="172"/>
      <c r="AH208" s="172"/>
      <c r="AI208" s="172"/>
      <c r="AJ208" s="172"/>
      <c r="AK208" s="172"/>
      <c r="AL208" s="172"/>
    </row>
    <row r="209" spans="1:38" ht="21" customHeight="1" x14ac:dyDescent="0.3">
      <c r="A209" s="172"/>
      <c r="B209" s="184"/>
      <c r="C209" s="94"/>
      <c r="D209" s="94"/>
      <c r="E209" s="185"/>
      <c r="F209" s="186"/>
      <c r="G209" s="185"/>
      <c r="H209" s="94"/>
      <c r="I209" s="184"/>
      <c r="J209" s="94"/>
      <c r="K209" s="94"/>
      <c r="L209" s="94"/>
      <c r="M209" s="94"/>
      <c r="N209" s="94"/>
      <c r="O209" s="94"/>
      <c r="P209" s="94"/>
      <c r="Q209" s="187"/>
      <c r="R209" s="187"/>
      <c r="S209" s="187"/>
      <c r="T209" s="187"/>
      <c r="U209" s="183"/>
      <c r="V209" s="183"/>
      <c r="W209" s="183"/>
      <c r="X209" s="185"/>
      <c r="Y209" s="94"/>
      <c r="Z209" s="172"/>
      <c r="AA209" s="172"/>
      <c r="AB209" s="172"/>
      <c r="AC209" s="172"/>
      <c r="AD209" s="172"/>
      <c r="AE209" s="267"/>
      <c r="AF209" s="172"/>
      <c r="AG209" s="172"/>
      <c r="AH209" s="172"/>
      <c r="AI209" s="172"/>
      <c r="AJ209" s="172"/>
      <c r="AK209" s="172"/>
      <c r="AL209" s="172"/>
    </row>
    <row r="210" spans="1:38" ht="21" customHeight="1" x14ac:dyDescent="0.3">
      <c r="A210" s="172"/>
      <c r="B210" s="184"/>
      <c r="C210" s="94"/>
      <c r="D210" s="94"/>
      <c r="E210" s="185"/>
      <c r="F210" s="186"/>
      <c r="G210" s="185"/>
      <c r="H210" s="94"/>
      <c r="I210" s="184"/>
      <c r="J210" s="94"/>
      <c r="K210" s="94"/>
      <c r="L210" s="94"/>
      <c r="M210" s="94"/>
      <c r="N210" s="94"/>
      <c r="O210" s="94"/>
      <c r="P210" s="94"/>
      <c r="Q210" s="187"/>
      <c r="R210" s="187"/>
      <c r="S210" s="187"/>
      <c r="T210" s="187"/>
      <c r="U210" s="183"/>
      <c r="V210" s="183"/>
      <c r="W210" s="183"/>
      <c r="X210" s="185"/>
      <c r="Y210" s="94"/>
      <c r="Z210" s="172"/>
      <c r="AA210" s="172"/>
      <c r="AB210" s="172"/>
      <c r="AC210" s="172"/>
      <c r="AD210" s="172"/>
      <c r="AE210" s="267"/>
      <c r="AF210" s="172"/>
      <c r="AG210" s="172"/>
      <c r="AH210" s="172"/>
      <c r="AI210" s="172"/>
      <c r="AJ210" s="172"/>
      <c r="AK210" s="172"/>
      <c r="AL210" s="172"/>
    </row>
    <row r="211" spans="1:38" ht="21" customHeight="1" x14ac:dyDescent="0.3">
      <c r="A211" s="172"/>
      <c r="B211" s="184"/>
      <c r="C211" s="94"/>
      <c r="D211" s="94"/>
      <c r="E211" s="185"/>
      <c r="F211" s="186"/>
      <c r="G211" s="185"/>
      <c r="H211" s="94"/>
      <c r="I211" s="184"/>
      <c r="J211" s="94"/>
      <c r="K211" s="94"/>
      <c r="L211" s="94"/>
      <c r="M211" s="94"/>
      <c r="N211" s="94"/>
      <c r="O211" s="94"/>
      <c r="P211" s="94"/>
      <c r="Q211" s="187"/>
      <c r="R211" s="187"/>
      <c r="S211" s="187"/>
      <c r="T211" s="187"/>
      <c r="U211" s="183"/>
      <c r="V211" s="183"/>
      <c r="W211" s="183"/>
      <c r="X211" s="185"/>
      <c r="Y211" s="94"/>
      <c r="Z211" s="172"/>
      <c r="AA211" s="172"/>
      <c r="AB211" s="172"/>
      <c r="AC211" s="172"/>
      <c r="AD211" s="172"/>
      <c r="AE211" s="267"/>
      <c r="AF211" s="172"/>
      <c r="AG211" s="172"/>
      <c r="AH211" s="172"/>
      <c r="AI211" s="172"/>
      <c r="AJ211" s="172"/>
      <c r="AK211" s="172"/>
      <c r="AL211" s="172"/>
    </row>
    <row r="212" spans="1:38" ht="21" customHeight="1" x14ac:dyDescent="0.3">
      <c r="A212" s="172"/>
      <c r="B212" s="184"/>
      <c r="C212" s="94"/>
      <c r="D212" s="94"/>
      <c r="E212" s="185"/>
      <c r="F212" s="186"/>
      <c r="G212" s="185"/>
      <c r="H212" s="94"/>
      <c r="I212" s="184"/>
      <c r="J212" s="94"/>
      <c r="K212" s="94"/>
      <c r="L212" s="94"/>
      <c r="M212" s="94"/>
      <c r="N212" s="94"/>
      <c r="O212" s="94"/>
      <c r="P212" s="94"/>
      <c r="Q212" s="187"/>
      <c r="R212" s="187"/>
      <c r="S212" s="187"/>
      <c r="T212" s="187"/>
      <c r="U212" s="183"/>
      <c r="V212" s="183"/>
      <c r="W212" s="183"/>
      <c r="X212" s="185"/>
      <c r="Y212" s="94"/>
      <c r="Z212" s="172"/>
      <c r="AA212" s="172"/>
      <c r="AB212" s="172"/>
      <c r="AC212" s="172"/>
      <c r="AD212" s="172"/>
      <c r="AE212" s="267"/>
      <c r="AF212" s="172"/>
      <c r="AG212" s="172"/>
      <c r="AH212" s="172"/>
      <c r="AI212" s="172"/>
      <c r="AJ212" s="172"/>
      <c r="AK212" s="172"/>
      <c r="AL212" s="172"/>
    </row>
    <row r="213" spans="1:38" ht="21" customHeight="1" x14ac:dyDescent="0.3">
      <c r="A213" s="172"/>
      <c r="B213" s="184"/>
      <c r="C213" s="94"/>
      <c r="D213" s="94"/>
      <c r="E213" s="185"/>
      <c r="F213" s="186"/>
      <c r="G213" s="185"/>
      <c r="H213" s="94"/>
      <c r="I213" s="184"/>
      <c r="J213" s="94"/>
      <c r="K213" s="94"/>
      <c r="L213" s="94"/>
      <c r="M213" s="94"/>
      <c r="N213" s="94"/>
      <c r="O213" s="94"/>
      <c r="P213" s="94"/>
      <c r="Q213" s="187"/>
      <c r="R213" s="187"/>
      <c r="S213" s="187"/>
      <c r="T213" s="187"/>
      <c r="U213" s="183"/>
      <c r="V213" s="183"/>
      <c r="W213" s="183"/>
      <c r="X213" s="185"/>
      <c r="Y213" s="94"/>
      <c r="Z213" s="172"/>
      <c r="AA213" s="172"/>
      <c r="AB213" s="172"/>
      <c r="AC213" s="172"/>
      <c r="AD213" s="172"/>
      <c r="AE213" s="267"/>
      <c r="AF213" s="172"/>
      <c r="AG213" s="172"/>
      <c r="AH213" s="172"/>
      <c r="AI213" s="172"/>
      <c r="AJ213" s="172"/>
      <c r="AK213" s="172"/>
      <c r="AL213" s="172"/>
    </row>
    <row r="214" spans="1:38" ht="21" customHeight="1" x14ac:dyDescent="0.3">
      <c r="A214" s="172"/>
      <c r="B214" s="184"/>
      <c r="C214" s="94"/>
      <c r="D214" s="94"/>
      <c r="E214" s="185"/>
      <c r="F214" s="186"/>
      <c r="G214" s="185"/>
      <c r="H214" s="94"/>
      <c r="I214" s="184"/>
      <c r="J214" s="94"/>
      <c r="K214" s="94"/>
      <c r="L214" s="94"/>
      <c r="M214" s="94"/>
      <c r="N214" s="94"/>
      <c r="O214" s="94"/>
      <c r="P214" s="94"/>
      <c r="Q214" s="187"/>
      <c r="R214" s="187"/>
      <c r="S214" s="187"/>
      <c r="T214" s="187"/>
      <c r="U214" s="183"/>
      <c r="V214" s="183"/>
      <c r="W214" s="183"/>
      <c r="X214" s="185"/>
      <c r="Y214" s="94"/>
      <c r="Z214" s="172"/>
      <c r="AA214" s="172"/>
      <c r="AB214" s="172"/>
      <c r="AC214" s="172"/>
      <c r="AD214" s="172"/>
      <c r="AE214" s="267"/>
      <c r="AF214" s="172"/>
      <c r="AG214" s="172"/>
      <c r="AH214" s="172"/>
      <c r="AI214" s="172"/>
      <c r="AJ214" s="172"/>
      <c r="AK214" s="172"/>
      <c r="AL214" s="172"/>
    </row>
    <row r="215" spans="1:38" ht="21" customHeight="1" x14ac:dyDescent="0.3">
      <c r="A215" s="172"/>
      <c r="B215" s="184"/>
      <c r="C215" s="94"/>
      <c r="D215" s="94"/>
      <c r="E215" s="185"/>
      <c r="F215" s="186"/>
      <c r="G215" s="185"/>
      <c r="H215" s="94"/>
      <c r="I215" s="184"/>
      <c r="J215" s="94"/>
      <c r="K215" s="94"/>
      <c r="L215" s="94"/>
      <c r="M215" s="94"/>
      <c r="N215" s="94"/>
      <c r="O215" s="94"/>
      <c r="P215" s="94"/>
      <c r="Q215" s="187"/>
      <c r="R215" s="187"/>
      <c r="S215" s="187"/>
      <c r="T215" s="187"/>
      <c r="U215" s="183"/>
      <c r="V215" s="183"/>
      <c r="W215" s="183"/>
      <c r="X215" s="185"/>
      <c r="Y215" s="94"/>
      <c r="Z215" s="172"/>
      <c r="AA215" s="172"/>
      <c r="AB215" s="172"/>
      <c r="AC215" s="172"/>
      <c r="AD215" s="172"/>
      <c r="AE215" s="267"/>
      <c r="AF215" s="172"/>
      <c r="AG215" s="172"/>
      <c r="AH215" s="172"/>
      <c r="AI215" s="172"/>
      <c r="AJ215" s="172"/>
      <c r="AK215" s="172"/>
      <c r="AL215" s="172"/>
    </row>
    <row r="216" spans="1:38" ht="21" customHeight="1" x14ac:dyDescent="0.3">
      <c r="A216" s="172"/>
      <c r="B216" s="184"/>
      <c r="C216" s="94"/>
      <c r="D216" s="94"/>
      <c r="E216" s="185"/>
      <c r="F216" s="186"/>
      <c r="G216" s="185"/>
      <c r="H216" s="94"/>
      <c r="I216" s="184"/>
      <c r="J216" s="94"/>
      <c r="K216" s="94"/>
      <c r="L216" s="94"/>
      <c r="M216" s="94"/>
      <c r="N216" s="94"/>
      <c r="O216" s="94"/>
      <c r="P216" s="94"/>
      <c r="Q216" s="187"/>
      <c r="R216" s="187"/>
      <c r="S216" s="187"/>
      <c r="T216" s="187"/>
      <c r="U216" s="183"/>
      <c r="V216" s="183"/>
      <c r="W216" s="183"/>
      <c r="X216" s="185"/>
      <c r="Y216" s="94"/>
      <c r="Z216" s="172"/>
      <c r="AA216" s="172"/>
      <c r="AB216" s="172"/>
      <c r="AC216" s="172"/>
      <c r="AD216" s="172"/>
      <c r="AE216" s="267"/>
      <c r="AF216" s="172"/>
      <c r="AG216" s="172"/>
      <c r="AH216" s="172"/>
      <c r="AI216" s="172"/>
      <c r="AJ216" s="172"/>
      <c r="AK216" s="172"/>
      <c r="AL216" s="172"/>
    </row>
    <row r="217" spans="1:38" ht="21" customHeight="1" x14ac:dyDescent="0.3">
      <c r="A217" s="172"/>
      <c r="B217" s="184"/>
      <c r="C217" s="94"/>
      <c r="D217" s="94"/>
      <c r="E217" s="185"/>
      <c r="F217" s="186"/>
      <c r="G217" s="185"/>
      <c r="H217" s="94"/>
      <c r="I217" s="184"/>
      <c r="J217" s="94"/>
      <c r="K217" s="94"/>
      <c r="L217" s="94"/>
      <c r="M217" s="94"/>
      <c r="N217" s="94"/>
      <c r="O217" s="94"/>
      <c r="P217" s="94"/>
      <c r="Q217" s="187"/>
      <c r="R217" s="187"/>
      <c r="S217" s="187"/>
      <c r="T217" s="187"/>
      <c r="U217" s="183"/>
      <c r="V217" s="183"/>
      <c r="W217" s="183"/>
      <c r="X217" s="185"/>
      <c r="Y217" s="94"/>
      <c r="Z217" s="172"/>
      <c r="AA217" s="172"/>
      <c r="AB217" s="172"/>
      <c r="AC217" s="172"/>
      <c r="AD217" s="172"/>
      <c r="AE217" s="267"/>
      <c r="AF217" s="172"/>
      <c r="AG217" s="172"/>
      <c r="AH217" s="172"/>
      <c r="AI217" s="172"/>
      <c r="AJ217" s="172"/>
      <c r="AK217" s="172"/>
      <c r="AL217" s="172"/>
    </row>
    <row r="218" spans="1:38" ht="21" customHeight="1" x14ac:dyDescent="0.3">
      <c r="A218" s="172"/>
      <c r="B218" s="184"/>
      <c r="C218" s="94"/>
      <c r="D218" s="94"/>
      <c r="E218" s="185"/>
      <c r="F218" s="186"/>
      <c r="G218" s="185"/>
      <c r="H218" s="94"/>
      <c r="I218" s="184"/>
      <c r="J218" s="94"/>
      <c r="K218" s="94"/>
      <c r="L218" s="94"/>
      <c r="M218" s="94"/>
      <c r="N218" s="94"/>
      <c r="O218" s="94"/>
      <c r="P218" s="94"/>
      <c r="Q218" s="187"/>
      <c r="R218" s="187"/>
      <c r="S218" s="187"/>
      <c r="T218" s="187"/>
      <c r="U218" s="183"/>
      <c r="V218" s="183"/>
      <c r="W218" s="183"/>
      <c r="X218" s="185"/>
      <c r="Y218" s="94"/>
      <c r="Z218" s="172"/>
      <c r="AA218" s="172"/>
      <c r="AB218" s="172"/>
      <c r="AC218" s="172"/>
      <c r="AD218" s="172"/>
      <c r="AE218" s="267"/>
      <c r="AF218" s="172"/>
      <c r="AG218" s="172"/>
      <c r="AH218" s="172"/>
      <c r="AI218" s="172"/>
      <c r="AJ218" s="172"/>
      <c r="AK218" s="172"/>
      <c r="AL218" s="172"/>
    </row>
    <row r="219" spans="1:38" ht="21" customHeight="1" x14ac:dyDescent="0.3">
      <c r="A219" s="172"/>
      <c r="B219" s="184"/>
      <c r="C219" s="94"/>
      <c r="D219" s="94"/>
      <c r="E219" s="185"/>
      <c r="F219" s="186"/>
      <c r="G219" s="185"/>
      <c r="H219" s="94"/>
      <c r="I219" s="184"/>
      <c r="J219" s="94"/>
      <c r="K219" s="94"/>
      <c r="L219" s="94"/>
      <c r="M219" s="94"/>
      <c r="N219" s="94"/>
      <c r="O219" s="94"/>
      <c r="P219" s="94"/>
      <c r="Q219" s="187"/>
      <c r="R219" s="187"/>
      <c r="S219" s="187"/>
      <c r="T219" s="187"/>
      <c r="U219" s="183"/>
      <c r="V219" s="183"/>
      <c r="W219" s="183"/>
      <c r="X219" s="185"/>
      <c r="Y219" s="94"/>
      <c r="Z219" s="172"/>
      <c r="AA219" s="172"/>
      <c r="AB219" s="172"/>
      <c r="AC219" s="172"/>
      <c r="AD219" s="172"/>
      <c r="AE219" s="267"/>
      <c r="AF219" s="172"/>
      <c r="AG219" s="172"/>
      <c r="AH219" s="172"/>
      <c r="AI219" s="172"/>
      <c r="AJ219" s="172"/>
      <c r="AK219" s="172"/>
      <c r="AL219" s="172"/>
    </row>
    <row r="220" spans="1:38" ht="21" customHeight="1" x14ac:dyDescent="0.3">
      <c r="A220" s="172"/>
      <c r="B220" s="184"/>
      <c r="C220" s="94"/>
      <c r="D220" s="94"/>
      <c r="E220" s="185"/>
      <c r="F220" s="186"/>
      <c r="G220" s="185"/>
      <c r="H220" s="94"/>
      <c r="I220" s="184"/>
      <c r="J220" s="94"/>
      <c r="K220" s="94"/>
      <c r="L220" s="94"/>
      <c r="M220" s="94"/>
      <c r="N220" s="94"/>
      <c r="O220" s="94"/>
      <c r="P220" s="94"/>
      <c r="Q220" s="187"/>
      <c r="R220" s="187"/>
      <c r="S220" s="187"/>
      <c r="T220" s="187"/>
      <c r="U220" s="183"/>
      <c r="V220" s="183"/>
      <c r="W220" s="183"/>
      <c r="X220" s="185"/>
      <c r="Y220" s="94"/>
      <c r="Z220" s="172"/>
      <c r="AA220" s="172"/>
      <c r="AB220" s="172"/>
      <c r="AC220" s="172"/>
      <c r="AD220" s="172"/>
      <c r="AE220" s="267"/>
      <c r="AF220" s="172"/>
      <c r="AG220" s="172"/>
      <c r="AH220" s="172"/>
      <c r="AI220" s="172"/>
      <c r="AJ220" s="172"/>
      <c r="AK220" s="172"/>
      <c r="AL220" s="172"/>
    </row>
    <row r="221" spans="1:38" ht="21" customHeight="1" x14ac:dyDescent="0.3">
      <c r="A221" s="172"/>
      <c r="B221" s="184"/>
      <c r="C221" s="94"/>
      <c r="D221" s="94"/>
      <c r="E221" s="185"/>
      <c r="F221" s="186"/>
      <c r="G221" s="185"/>
      <c r="H221" s="94"/>
      <c r="I221" s="184"/>
      <c r="J221" s="94"/>
      <c r="K221" s="94"/>
      <c r="L221" s="94"/>
      <c r="M221" s="94"/>
      <c r="N221" s="94"/>
      <c r="O221" s="94"/>
      <c r="P221" s="94"/>
      <c r="Q221" s="187"/>
      <c r="R221" s="187"/>
      <c r="S221" s="187"/>
      <c r="T221" s="187"/>
      <c r="U221" s="183"/>
      <c r="V221" s="183"/>
      <c r="W221" s="183"/>
      <c r="X221" s="185"/>
      <c r="Y221" s="94"/>
      <c r="Z221" s="172"/>
      <c r="AA221" s="172"/>
      <c r="AB221" s="172"/>
      <c r="AC221" s="172"/>
      <c r="AD221" s="172"/>
      <c r="AE221" s="267"/>
      <c r="AF221" s="172"/>
      <c r="AG221" s="172"/>
      <c r="AH221" s="172"/>
      <c r="AI221" s="172"/>
      <c r="AJ221" s="172"/>
      <c r="AK221" s="172"/>
      <c r="AL221" s="172"/>
    </row>
    <row r="222" spans="1:38" ht="21" customHeight="1" x14ac:dyDescent="0.3">
      <c r="A222" s="172"/>
      <c r="B222" s="184"/>
      <c r="C222" s="94"/>
      <c r="D222" s="94"/>
      <c r="E222" s="185"/>
      <c r="F222" s="186"/>
      <c r="G222" s="185"/>
      <c r="H222" s="94"/>
      <c r="I222" s="184"/>
      <c r="J222" s="94"/>
      <c r="K222" s="94"/>
      <c r="L222" s="94"/>
      <c r="M222" s="94"/>
      <c r="N222" s="94"/>
      <c r="O222" s="94"/>
      <c r="P222" s="94"/>
      <c r="Q222" s="187"/>
      <c r="R222" s="187"/>
      <c r="S222" s="187"/>
      <c r="T222" s="187"/>
      <c r="U222" s="183"/>
      <c r="V222" s="183"/>
      <c r="W222" s="183"/>
      <c r="X222" s="185"/>
      <c r="Y222" s="94"/>
      <c r="Z222" s="172"/>
      <c r="AA222" s="172"/>
      <c r="AB222" s="172"/>
      <c r="AC222" s="172"/>
      <c r="AD222" s="172"/>
      <c r="AE222" s="267"/>
      <c r="AF222" s="172"/>
      <c r="AG222" s="172"/>
      <c r="AH222" s="172"/>
      <c r="AI222" s="172"/>
      <c r="AJ222" s="172"/>
      <c r="AK222" s="172"/>
      <c r="AL222" s="172"/>
    </row>
    <row r="223" spans="1:38" ht="21" customHeight="1" x14ac:dyDescent="0.3">
      <c r="A223" s="172"/>
      <c r="B223" s="184"/>
      <c r="C223" s="94"/>
      <c r="D223" s="94"/>
      <c r="E223" s="185"/>
      <c r="F223" s="186"/>
      <c r="G223" s="185"/>
      <c r="H223" s="94"/>
      <c r="I223" s="184"/>
      <c r="J223" s="94"/>
      <c r="K223" s="94"/>
      <c r="L223" s="94"/>
      <c r="M223" s="94"/>
      <c r="N223" s="94"/>
      <c r="O223" s="94"/>
      <c r="P223" s="94"/>
      <c r="Q223" s="187"/>
      <c r="R223" s="187"/>
      <c r="S223" s="187"/>
      <c r="T223" s="187"/>
      <c r="U223" s="183"/>
      <c r="V223" s="183"/>
      <c r="W223" s="183"/>
      <c r="X223" s="185"/>
      <c r="Y223" s="94"/>
      <c r="Z223" s="172"/>
      <c r="AA223" s="172"/>
      <c r="AB223" s="172"/>
      <c r="AC223" s="172"/>
      <c r="AD223" s="172"/>
      <c r="AE223" s="267"/>
      <c r="AF223" s="172"/>
      <c r="AG223" s="172"/>
      <c r="AH223" s="172"/>
      <c r="AI223" s="172"/>
      <c r="AJ223" s="172"/>
      <c r="AK223" s="172"/>
      <c r="AL223" s="172"/>
    </row>
    <row r="224" spans="1:38" ht="21" customHeight="1" x14ac:dyDescent="0.3">
      <c r="A224" s="172"/>
      <c r="B224" s="184"/>
      <c r="C224" s="94"/>
      <c r="D224" s="94"/>
      <c r="E224" s="185"/>
      <c r="F224" s="186"/>
      <c r="G224" s="185"/>
      <c r="H224" s="94"/>
      <c r="I224" s="184"/>
      <c r="J224" s="94"/>
      <c r="K224" s="94"/>
      <c r="L224" s="94"/>
      <c r="M224" s="94"/>
      <c r="N224" s="94"/>
      <c r="O224" s="94"/>
      <c r="P224" s="94"/>
      <c r="Q224" s="187"/>
      <c r="R224" s="187"/>
      <c r="S224" s="187"/>
      <c r="T224" s="187"/>
      <c r="U224" s="183"/>
      <c r="V224" s="183"/>
      <c r="W224" s="183"/>
      <c r="X224" s="185"/>
      <c r="Y224" s="94"/>
      <c r="Z224" s="172"/>
      <c r="AA224" s="172"/>
      <c r="AB224" s="172"/>
      <c r="AC224" s="172"/>
      <c r="AD224" s="172"/>
      <c r="AE224" s="267"/>
      <c r="AF224" s="172"/>
      <c r="AG224" s="172"/>
      <c r="AH224" s="172"/>
      <c r="AI224" s="172"/>
      <c r="AJ224" s="172"/>
      <c r="AK224" s="172"/>
      <c r="AL224" s="172"/>
    </row>
    <row r="225" spans="1:38" ht="21" customHeight="1" x14ac:dyDescent="0.3">
      <c r="A225" s="172"/>
      <c r="B225" s="184"/>
      <c r="C225" s="94"/>
      <c r="D225" s="94"/>
      <c r="E225" s="185"/>
      <c r="F225" s="186"/>
      <c r="G225" s="185"/>
      <c r="H225" s="94"/>
      <c r="I225" s="184"/>
      <c r="J225" s="94"/>
      <c r="K225" s="94"/>
      <c r="L225" s="94"/>
      <c r="M225" s="94"/>
      <c r="N225" s="94"/>
      <c r="O225" s="94"/>
      <c r="P225" s="94"/>
      <c r="Q225" s="187"/>
      <c r="R225" s="187"/>
      <c r="S225" s="187"/>
      <c r="T225" s="187"/>
      <c r="U225" s="183"/>
      <c r="V225" s="183"/>
      <c r="W225" s="183"/>
      <c r="X225" s="185"/>
      <c r="Y225" s="94"/>
      <c r="Z225" s="172"/>
      <c r="AA225" s="172"/>
      <c r="AB225" s="172"/>
      <c r="AC225" s="172"/>
      <c r="AD225" s="172"/>
      <c r="AE225" s="267"/>
      <c r="AF225" s="172"/>
      <c r="AG225" s="172"/>
      <c r="AH225" s="172"/>
      <c r="AI225" s="172"/>
      <c r="AJ225" s="172"/>
      <c r="AK225" s="172"/>
      <c r="AL225" s="172"/>
    </row>
    <row r="226" spans="1:38" ht="21" customHeight="1" x14ac:dyDescent="0.3">
      <c r="A226" s="172"/>
      <c r="B226" s="184"/>
      <c r="C226" s="94"/>
      <c r="D226" s="94"/>
      <c r="E226" s="185"/>
      <c r="F226" s="186"/>
      <c r="G226" s="185"/>
      <c r="H226" s="94"/>
      <c r="I226" s="184"/>
      <c r="J226" s="94"/>
      <c r="K226" s="94"/>
      <c r="L226" s="94"/>
      <c r="M226" s="94"/>
      <c r="N226" s="94"/>
      <c r="O226" s="94"/>
      <c r="P226" s="94"/>
      <c r="Q226" s="187"/>
      <c r="R226" s="187"/>
      <c r="S226" s="187"/>
      <c r="T226" s="187"/>
      <c r="U226" s="183"/>
      <c r="V226" s="183"/>
      <c r="W226" s="183"/>
      <c r="X226" s="185"/>
      <c r="Y226" s="94"/>
      <c r="Z226" s="172"/>
      <c r="AA226" s="172"/>
      <c r="AB226" s="172"/>
      <c r="AC226" s="172"/>
      <c r="AD226" s="172"/>
      <c r="AE226" s="267"/>
      <c r="AF226" s="172"/>
      <c r="AG226" s="172"/>
      <c r="AH226" s="172"/>
      <c r="AI226" s="172"/>
      <c r="AJ226" s="172"/>
      <c r="AK226" s="172"/>
      <c r="AL226" s="172"/>
    </row>
    <row r="227" spans="1:38" ht="21" customHeight="1" x14ac:dyDescent="0.3">
      <c r="A227" s="172"/>
      <c r="B227" s="184"/>
      <c r="C227" s="94"/>
      <c r="D227" s="94"/>
      <c r="E227" s="185"/>
      <c r="F227" s="186"/>
      <c r="G227" s="185"/>
      <c r="H227" s="94"/>
      <c r="I227" s="184"/>
      <c r="J227" s="94"/>
      <c r="K227" s="94"/>
      <c r="L227" s="94"/>
      <c r="M227" s="94"/>
      <c r="N227" s="94"/>
      <c r="O227" s="94"/>
      <c r="P227" s="94"/>
      <c r="Q227" s="187"/>
      <c r="R227" s="187"/>
      <c r="S227" s="187"/>
      <c r="T227" s="187"/>
      <c r="U227" s="183"/>
      <c r="V227" s="183"/>
      <c r="W227" s="183"/>
      <c r="X227" s="185"/>
      <c r="Y227" s="94"/>
      <c r="Z227" s="172"/>
      <c r="AA227" s="172"/>
      <c r="AB227" s="172"/>
      <c r="AC227" s="172"/>
      <c r="AD227" s="172"/>
      <c r="AE227" s="267"/>
      <c r="AF227" s="172"/>
      <c r="AG227" s="172"/>
      <c r="AH227" s="172"/>
      <c r="AI227" s="172"/>
      <c r="AJ227" s="172"/>
      <c r="AK227" s="172"/>
      <c r="AL227" s="172"/>
    </row>
    <row r="228" spans="1:38" ht="21" customHeight="1" x14ac:dyDescent="0.3">
      <c r="A228" s="172"/>
      <c r="B228" s="184"/>
      <c r="C228" s="94"/>
      <c r="D228" s="94"/>
      <c r="E228" s="185"/>
      <c r="F228" s="186"/>
      <c r="G228" s="185"/>
      <c r="H228" s="94"/>
      <c r="I228" s="184"/>
      <c r="J228" s="94"/>
      <c r="K228" s="94"/>
      <c r="L228" s="94"/>
      <c r="M228" s="94"/>
      <c r="N228" s="94"/>
      <c r="O228" s="94"/>
      <c r="P228" s="94"/>
      <c r="Q228" s="187"/>
      <c r="R228" s="187"/>
      <c r="S228" s="187"/>
      <c r="T228" s="187"/>
      <c r="U228" s="183"/>
      <c r="V228" s="183"/>
      <c r="W228" s="183"/>
      <c r="X228" s="185"/>
      <c r="Y228" s="94"/>
      <c r="Z228" s="172"/>
      <c r="AA228" s="172"/>
      <c r="AB228" s="172"/>
      <c r="AC228" s="172"/>
      <c r="AD228" s="172"/>
      <c r="AE228" s="267"/>
      <c r="AF228" s="172"/>
      <c r="AG228" s="172"/>
      <c r="AH228" s="172"/>
      <c r="AI228" s="172"/>
      <c r="AJ228" s="172"/>
      <c r="AK228" s="172"/>
      <c r="AL228" s="172"/>
    </row>
    <row r="229" spans="1:38" ht="21" customHeight="1" x14ac:dyDescent="0.3">
      <c r="A229" s="172"/>
      <c r="B229" s="184"/>
      <c r="C229" s="94"/>
      <c r="D229" s="94"/>
      <c r="E229" s="185"/>
      <c r="F229" s="186"/>
      <c r="G229" s="185"/>
      <c r="H229" s="94"/>
      <c r="I229" s="184"/>
      <c r="J229" s="94"/>
      <c r="K229" s="94"/>
      <c r="L229" s="94"/>
      <c r="M229" s="94"/>
      <c r="N229" s="94"/>
      <c r="O229" s="94"/>
      <c r="P229" s="94"/>
      <c r="Q229" s="187"/>
      <c r="R229" s="187"/>
      <c r="S229" s="187"/>
      <c r="T229" s="187"/>
      <c r="U229" s="183"/>
      <c r="V229" s="183"/>
      <c r="W229" s="183"/>
      <c r="X229" s="185"/>
      <c r="Y229" s="94"/>
      <c r="Z229" s="172"/>
      <c r="AA229" s="172"/>
      <c r="AB229" s="172"/>
      <c r="AC229" s="172"/>
      <c r="AD229" s="172"/>
      <c r="AE229" s="267"/>
      <c r="AF229" s="172"/>
      <c r="AG229" s="172"/>
      <c r="AH229" s="172"/>
      <c r="AI229" s="172"/>
      <c r="AJ229" s="172"/>
      <c r="AK229" s="172"/>
      <c r="AL229" s="172"/>
    </row>
    <row r="230" spans="1:38" ht="21" customHeight="1" x14ac:dyDescent="0.3">
      <c r="A230" s="172"/>
      <c r="B230" s="184"/>
      <c r="C230" s="94"/>
      <c r="D230" s="94"/>
      <c r="E230" s="185"/>
      <c r="F230" s="186"/>
      <c r="G230" s="185"/>
      <c r="H230" s="94"/>
      <c r="I230" s="184"/>
      <c r="J230" s="94"/>
      <c r="K230" s="94"/>
      <c r="L230" s="94"/>
      <c r="M230" s="94"/>
      <c r="N230" s="94"/>
      <c r="O230" s="94"/>
      <c r="P230" s="94"/>
      <c r="Q230" s="187"/>
      <c r="R230" s="187"/>
      <c r="S230" s="187"/>
      <c r="T230" s="187"/>
      <c r="U230" s="183"/>
      <c r="V230" s="183"/>
      <c r="W230" s="183"/>
      <c r="X230" s="185"/>
      <c r="Y230" s="94"/>
      <c r="Z230" s="172"/>
      <c r="AA230" s="172"/>
      <c r="AB230" s="172"/>
      <c r="AC230" s="172"/>
      <c r="AD230" s="172"/>
      <c r="AE230" s="267"/>
      <c r="AF230" s="172"/>
      <c r="AG230" s="172"/>
      <c r="AH230" s="172"/>
      <c r="AI230" s="172"/>
      <c r="AJ230" s="172"/>
      <c r="AK230" s="172"/>
      <c r="AL230" s="172"/>
    </row>
    <row r="231" spans="1:38" ht="21" customHeight="1" x14ac:dyDescent="0.3">
      <c r="A231" s="172"/>
      <c r="B231" s="184"/>
      <c r="C231" s="94"/>
      <c r="D231" s="94"/>
      <c r="E231" s="185"/>
      <c r="F231" s="186"/>
      <c r="G231" s="185"/>
      <c r="H231" s="94"/>
      <c r="I231" s="184"/>
      <c r="J231" s="94"/>
      <c r="K231" s="94"/>
      <c r="L231" s="94"/>
      <c r="M231" s="94"/>
      <c r="N231" s="94"/>
      <c r="O231" s="94"/>
      <c r="P231" s="94"/>
      <c r="Q231" s="187"/>
      <c r="R231" s="187"/>
      <c r="S231" s="187"/>
      <c r="T231" s="187"/>
      <c r="U231" s="183"/>
      <c r="V231" s="183"/>
      <c r="W231" s="183"/>
      <c r="X231" s="185"/>
      <c r="Y231" s="94"/>
      <c r="Z231" s="172"/>
      <c r="AA231" s="172"/>
      <c r="AB231" s="172"/>
      <c r="AC231" s="172"/>
      <c r="AD231" s="172"/>
      <c r="AE231" s="267"/>
      <c r="AF231" s="172"/>
      <c r="AG231" s="172"/>
      <c r="AH231" s="172"/>
      <c r="AI231" s="172"/>
      <c r="AJ231" s="172"/>
      <c r="AK231" s="172"/>
      <c r="AL231" s="172"/>
    </row>
    <row r="232" spans="1:38" ht="21" customHeight="1" x14ac:dyDescent="0.3">
      <c r="A232" s="172"/>
      <c r="B232" s="184"/>
      <c r="C232" s="94"/>
      <c r="D232" s="94"/>
      <c r="E232" s="185"/>
      <c r="F232" s="186"/>
      <c r="G232" s="185"/>
      <c r="H232" s="94"/>
      <c r="I232" s="184"/>
      <c r="J232" s="94"/>
      <c r="K232" s="94"/>
      <c r="L232" s="94"/>
      <c r="M232" s="94"/>
      <c r="N232" s="94"/>
      <c r="O232" s="94"/>
      <c r="P232" s="94"/>
      <c r="Q232" s="187"/>
      <c r="R232" s="187"/>
      <c r="S232" s="187"/>
      <c r="T232" s="187"/>
      <c r="U232" s="183"/>
      <c r="V232" s="183"/>
      <c r="W232" s="183"/>
      <c r="X232" s="185"/>
      <c r="Y232" s="94"/>
      <c r="Z232" s="172"/>
      <c r="AA232" s="172"/>
      <c r="AB232" s="172"/>
      <c r="AC232" s="172"/>
      <c r="AD232" s="172"/>
      <c r="AE232" s="267"/>
      <c r="AF232" s="172"/>
      <c r="AG232" s="172"/>
      <c r="AH232" s="172"/>
      <c r="AI232" s="172"/>
      <c r="AJ232" s="172"/>
      <c r="AK232" s="172"/>
      <c r="AL232" s="172"/>
    </row>
    <row r="233" spans="1:38" ht="21" customHeight="1" x14ac:dyDescent="0.3">
      <c r="A233" s="172"/>
      <c r="B233" s="184"/>
      <c r="C233" s="94"/>
      <c r="D233" s="94"/>
      <c r="E233" s="185"/>
      <c r="F233" s="186"/>
      <c r="G233" s="185"/>
      <c r="H233" s="94"/>
      <c r="I233" s="184"/>
      <c r="J233" s="94"/>
      <c r="K233" s="94"/>
      <c r="L233" s="94"/>
      <c r="M233" s="94"/>
      <c r="N233" s="94"/>
      <c r="O233" s="94"/>
      <c r="P233" s="94"/>
      <c r="Q233" s="187"/>
      <c r="R233" s="187"/>
      <c r="S233" s="187"/>
      <c r="T233" s="187"/>
      <c r="U233" s="183"/>
      <c r="V233" s="183"/>
      <c r="W233" s="183"/>
      <c r="X233" s="185"/>
      <c r="Y233" s="94"/>
      <c r="Z233" s="172"/>
      <c r="AA233" s="172"/>
      <c r="AB233" s="172"/>
      <c r="AC233" s="172"/>
      <c r="AD233" s="172"/>
      <c r="AE233" s="267"/>
      <c r="AF233" s="172"/>
      <c r="AG233" s="172"/>
      <c r="AH233" s="172"/>
      <c r="AI233" s="172"/>
      <c r="AJ233" s="172"/>
      <c r="AK233" s="172"/>
      <c r="AL233" s="172"/>
    </row>
    <row r="234" spans="1:38" ht="21" customHeight="1" x14ac:dyDescent="0.3">
      <c r="A234" s="172"/>
      <c r="B234" s="184"/>
      <c r="C234" s="94"/>
      <c r="D234" s="94"/>
      <c r="E234" s="185"/>
      <c r="F234" s="186"/>
      <c r="G234" s="185"/>
      <c r="H234" s="94"/>
      <c r="I234" s="184"/>
      <c r="J234" s="94"/>
      <c r="K234" s="94"/>
      <c r="L234" s="94"/>
      <c r="M234" s="94"/>
      <c r="N234" s="94"/>
      <c r="O234" s="94"/>
      <c r="P234" s="94"/>
      <c r="Q234" s="187"/>
      <c r="R234" s="187"/>
      <c r="S234" s="187"/>
      <c r="T234" s="187"/>
      <c r="U234" s="183"/>
      <c r="V234" s="183"/>
      <c r="W234" s="183"/>
      <c r="X234" s="185"/>
      <c r="Y234" s="94"/>
      <c r="Z234" s="172"/>
      <c r="AA234" s="172"/>
      <c r="AB234" s="172"/>
      <c r="AC234" s="172"/>
      <c r="AD234" s="172"/>
      <c r="AE234" s="267"/>
      <c r="AF234" s="172"/>
      <c r="AG234" s="172"/>
      <c r="AH234" s="172"/>
      <c r="AI234" s="172"/>
      <c r="AJ234" s="172"/>
      <c r="AK234" s="172"/>
      <c r="AL234" s="172"/>
    </row>
    <row r="235" spans="1:38" ht="21" customHeight="1" x14ac:dyDescent="0.3">
      <c r="A235" s="172"/>
      <c r="B235" s="184"/>
      <c r="C235" s="94"/>
      <c r="D235" s="94"/>
      <c r="E235" s="185"/>
      <c r="F235" s="186"/>
      <c r="G235" s="185"/>
      <c r="H235" s="94"/>
      <c r="I235" s="184"/>
      <c r="J235" s="94"/>
      <c r="K235" s="94"/>
      <c r="L235" s="94"/>
      <c r="M235" s="94"/>
      <c r="N235" s="94"/>
      <c r="O235" s="94"/>
      <c r="P235" s="94"/>
      <c r="Q235" s="187"/>
      <c r="R235" s="187"/>
      <c r="S235" s="187"/>
      <c r="T235" s="187"/>
      <c r="U235" s="183"/>
      <c r="V235" s="183"/>
      <c r="W235" s="183"/>
      <c r="X235" s="185"/>
      <c r="Y235" s="94"/>
      <c r="Z235" s="172"/>
      <c r="AA235" s="172"/>
      <c r="AB235" s="172"/>
      <c r="AC235" s="172"/>
      <c r="AD235" s="172"/>
      <c r="AE235" s="267"/>
      <c r="AF235" s="172"/>
      <c r="AG235" s="172"/>
      <c r="AH235" s="172"/>
      <c r="AI235" s="172"/>
      <c r="AJ235" s="172"/>
      <c r="AK235" s="172"/>
      <c r="AL235" s="172"/>
    </row>
    <row r="236" spans="1:38" ht="21" customHeight="1" x14ac:dyDescent="0.3">
      <c r="A236" s="172"/>
      <c r="B236" s="184"/>
      <c r="C236" s="94"/>
      <c r="D236" s="94"/>
      <c r="E236" s="185"/>
      <c r="F236" s="186"/>
      <c r="G236" s="185"/>
      <c r="H236" s="94"/>
      <c r="I236" s="184"/>
      <c r="J236" s="94"/>
      <c r="K236" s="94"/>
      <c r="L236" s="94"/>
      <c r="M236" s="94"/>
      <c r="N236" s="94"/>
      <c r="O236" s="94"/>
      <c r="P236" s="94"/>
      <c r="Q236" s="187"/>
      <c r="R236" s="187"/>
      <c r="S236" s="187"/>
      <c r="T236" s="187"/>
      <c r="U236" s="183"/>
      <c r="V236" s="183"/>
      <c r="W236" s="183"/>
      <c r="X236" s="185"/>
      <c r="Y236" s="94"/>
      <c r="Z236" s="172"/>
      <c r="AA236" s="172"/>
      <c r="AB236" s="172"/>
      <c r="AC236" s="172"/>
      <c r="AD236" s="172"/>
      <c r="AE236" s="267"/>
      <c r="AF236" s="172"/>
      <c r="AG236" s="172"/>
      <c r="AH236" s="172"/>
      <c r="AI236" s="172"/>
      <c r="AJ236" s="172"/>
      <c r="AK236" s="172"/>
      <c r="AL236" s="172"/>
    </row>
    <row r="237" spans="1:38" ht="21" customHeight="1" x14ac:dyDescent="0.3">
      <c r="A237" s="172"/>
      <c r="B237" s="184"/>
      <c r="C237" s="94"/>
      <c r="D237" s="94"/>
      <c r="E237" s="185"/>
      <c r="F237" s="186"/>
      <c r="G237" s="185"/>
      <c r="H237" s="94"/>
      <c r="I237" s="184"/>
      <c r="J237" s="94"/>
      <c r="K237" s="94"/>
      <c r="L237" s="94"/>
      <c r="M237" s="94"/>
      <c r="N237" s="94"/>
      <c r="O237" s="94"/>
      <c r="P237" s="94"/>
      <c r="Q237" s="187"/>
      <c r="R237" s="187"/>
      <c r="S237" s="187"/>
      <c r="T237" s="187"/>
      <c r="U237" s="183"/>
      <c r="V237" s="183"/>
      <c r="W237" s="183"/>
      <c r="X237" s="185"/>
      <c r="Y237" s="94"/>
      <c r="Z237" s="172"/>
      <c r="AA237" s="172"/>
      <c r="AB237" s="172"/>
      <c r="AC237" s="172"/>
      <c r="AD237" s="172"/>
      <c r="AE237" s="267"/>
      <c r="AF237" s="172"/>
      <c r="AG237" s="172"/>
      <c r="AH237" s="172"/>
      <c r="AI237" s="172"/>
      <c r="AJ237" s="172"/>
      <c r="AK237" s="172"/>
      <c r="AL237" s="172"/>
    </row>
    <row r="238" spans="1:38" ht="21" customHeight="1" x14ac:dyDescent="0.3">
      <c r="A238" s="172"/>
      <c r="B238" s="184"/>
      <c r="C238" s="94"/>
      <c r="D238" s="94"/>
      <c r="E238" s="185"/>
      <c r="F238" s="186"/>
      <c r="G238" s="185"/>
      <c r="H238" s="94"/>
      <c r="I238" s="184"/>
      <c r="J238" s="94"/>
      <c r="K238" s="94"/>
      <c r="L238" s="94"/>
      <c r="M238" s="94"/>
      <c r="N238" s="94"/>
      <c r="O238" s="94"/>
      <c r="P238" s="94"/>
      <c r="Q238" s="187"/>
      <c r="R238" s="187"/>
      <c r="S238" s="187"/>
      <c r="T238" s="187"/>
      <c r="U238" s="183"/>
      <c r="V238" s="183"/>
      <c r="W238" s="183"/>
      <c r="X238" s="185"/>
      <c r="Y238" s="94"/>
      <c r="Z238" s="172"/>
      <c r="AA238" s="172"/>
      <c r="AB238" s="172"/>
      <c r="AC238" s="172"/>
      <c r="AD238" s="172"/>
      <c r="AE238" s="267"/>
      <c r="AF238" s="172"/>
      <c r="AG238" s="172"/>
      <c r="AH238" s="172"/>
      <c r="AI238" s="172"/>
      <c r="AJ238" s="172"/>
      <c r="AK238" s="172"/>
      <c r="AL238" s="172"/>
    </row>
    <row r="239" spans="1:38" ht="21" customHeight="1" x14ac:dyDescent="0.3">
      <c r="A239" s="172"/>
      <c r="B239" s="184"/>
      <c r="C239" s="94"/>
      <c r="D239" s="94"/>
      <c r="E239" s="185"/>
      <c r="F239" s="186"/>
      <c r="G239" s="185"/>
      <c r="H239" s="94"/>
      <c r="I239" s="184"/>
      <c r="J239" s="94"/>
      <c r="K239" s="94"/>
      <c r="L239" s="94"/>
      <c r="M239" s="94"/>
      <c r="N239" s="94"/>
      <c r="O239" s="94"/>
      <c r="P239" s="94"/>
      <c r="Q239" s="187"/>
      <c r="R239" s="187"/>
      <c r="S239" s="187"/>
      <c r="T239" s="187"/>
      <c r="U239" s="183"/>
      <c r="V239" s="183"/>
      <c r="W239" s="183"/>
      <c r="X239" s="185"/>
      <c r="Y239" s="94"/>
      <c r="Z239" s="172"/>
      <c r="AA239" s="172"/>
      <c r="AB239" s="172"/>
      <c r="AC239" s="172"/>
      <c r="AD239" s="172"/>
      <c r="AE239" s="267"/>
      <c r="AF239" s="172"/>
      <c r="AG239" s="172"/>
      <c r="AH239" s="172"/>
      <c r="AI239" s="172"/>
      <c r="AJ239" s="172"/>
      <c r="AK239" s="172"/>
      <c r="AL239" s="172"/>
    </row>
    <row r="240" spans="1:38" ht="21" customHeight="1" x14ac:dyDescent="0.3">
      <c r="A240" s="172"/>
      <c r="B240" s="184"/>
      <c r="C240" s="94"/>
      <c r="D240" s="94"/>
      <c r="E240" s="185"/>
      <c r="F240" s="186"/>
      <c r="G240" s="185"/>
      <c r="H240" s="94"/>
      <c r="I240" s="184"/>
      <c r="J240" s="94"/>
      <c r="K240" s="94"/>
      <c r="L240" s="94"/>
      <c r="M240" s="94"/>
      <c r="N240" s="94"/>
      <c r="O240" s="94"/>
      <c r="P240" s="94"/>
      <c r="Q240" s="187"/>
      <c r="R240" s="187"/>
      <c r="S240" s="187"/>
      <c r="T240" s="187"/>
      <c r="U240" s="183"/>
      <c r="V240" s="183"/>
      <c r="W240" s="183"/>
      <c r="X240" s="185"/>
      <c r="Y240" s="94"/>
      <c r="Z240" s="172"/>
      <c r="AA240" s="172"/>
      <c r="AB240" s="172"/>
      <c r="AC240" s="172"/>
      <c r="AD240" s="172"/>
      <c r="AE240" s="267"/>
      <c r="AF240" s="172"/>
      <c r="AG240" s="172"/>
      <c r="AH240" s="172"/>
      <c r="AI240" s="172"/>
      <c r="AJ240" s="172"/>
      <c r="AK240" s="172"/>
      <c r="AL240" s="172"/>
    </row>
    <row r="241" spans="1:38" ht="21" customHeight="1" x14ac:dyDescent="0.3">
      <c r="A241" s="172"/>
      <c r="B241" s="184"/>
      <c r="C241" s="94"/>
      <c r="D241" s="94"/>
      <c r="E241" s="185"/>
      <c r="F241" s="186"/>
      <c r="G241" s="185"/>
      <c r="H241" s="94"/>
      <c r="I241" s="184"/>
      <c r="J241" s="94"/>
      <c r="K241" s="94"/>
      <c r="L241" s="94"/>
      <c r="M241" s="94"/>
      <c r="N241" s="94"/>
      <c r="O241" s="94"/>
      <c r="P241" s="94"/>
      <c r="Q241" s="187"/>
      <c r="R241" s="187"/>
      <c r="S241" s="187"/>
      <c r="T241" s="187"/>
      <c r="U241" s="183"/>
      <c r="V241" s="183"/>
      <c r="W241" s="183"/>
      <c r="X241" s="185"/>
      <c r="Y241" s="94"/>
      <c r="Z241" s="172"/>
      <c r="AA241" s="172"/>
      <c r="AB241" s="172"/>
      <c r="AC241" s="172"/>
      <c r="AD241" s="172"/>
      <c r="AE241" s="267"/>
      <c r="AF241" s="172"/>
      <c r="AG241" s="172"/>
      <c r="AH241" s="172"/>
      <c r="AI241" s="172"/>
      <c r="AJ241" s="172"/>
      <c r="AK241" s="172"/>
      <c r="AL241" s="172"/>
    </row>
    <row r="242" spans="1:38" ht="21" customHeight="1" x14ac:dyDescent="0.3">
      <c r="A242" s="172"/>
      <c r="B242" s="184"/>
      <c r="C242" s="94"/>
      <c r="D242" s="94"/>
      <c r="E242" s="185"/>
      <c r="F242" s="186"/>
      <c r="G242" s="185"/>
      <c r="H242" s="94"/>
      <c r="I242" s="184"/>
      <c r="J242" s="94"/>
      <c r="K242" s="94"/>
      <c r="L242" s="94"/>
      <c r="M242" s="94"/>
      <c r="N242" s="94"/>
      <c r="O242" s="94"/>
      <c r="P242" s="94"/>
      <c r="Q242" s="187"/>
      <c r="R242" s="187"/>
      <c r="S242" s="187"/>
      <c r="T242" s="187"/>
      <c r="U242" s="183"/>
      <c r="V242" s="183"/>
      <c r="W242" s="183"/>
      <c r="X242" s="185"/>
      <c r="Y242" s="94"/>
      <c r="Z242" s="172"/>
      <c r="AA242" s="172"/>
      <c r="AB242" s="172"/>
      <c r="AC242" s="172"/>
      <c r="AD242" s="172"/>
      <c r="AE242" s="267"/>
      <c r="AF242" s="172"/>
      <c r="AG242" s="172"/>
      <c r="AH242" s="172"/>
      <c r="AI242" s="172"/>
      <c r="AJ242" s="172"/>
      <c r="AK242" s="172"/>
      <c r="AL242" s="172"/>
    </row>
    <row r="243" spans="1:38" ht="21" customHeight="1" x14ac:dyDescent="0.3">
      <c r="A243" s="172"/>
      <c r="B243" s="184"/>
      <c r="C243" s="94"/>
      <c r="D243" s="94"/>
      <c r="E243" s="185"/>
      <c r="F243" s="186"/>
      <c r="G243" s="185"/>
      <c r="H243" s="94"/>
      <c r="I243" s="184"/>
      <c r="J243" s="94"/>
      <c r="K243" s="94"/>
      <c r="L243" s="94"/>
      <c r="M243" s="94"/>
      <c r="N243" s="94"/>
      <c r="O243" s="94"/>
      <c r="P243" s="94"/>
      <c r="Q243" s="187"/>
      <c r="R243" s="187"/>
      <c r="S243" s="187"/>
      <c r="T243" s="187"/>
      <c r="U243" s="183"/>
      <c r="V243" s="183"/>
      <c r="W243" s="183"/>
      <c r="X243" s="185"/>
      <c r="Y243" s="94"/>
      <c r="Z243" s="172"/>
      <c r="AA243" s="172"/>
      <c r="AB243" s="172"/>
      <c r="AC243" s="172"/>
      <c r="AD243" s="172"/>
      <c r="AE243" s="267"/>
      <c r="AF243" s="172"/>
      <c r="AG243" s="172"/>
      <c r="AH243" s="172"/>
      <c r="AI243" s="172"/>
      <c r="AJ243" s="172"/>
      <c r="AK243" s="172"/>
      <c r="AL243" s="172"/>
    </row>
    <row r="244" spans="1:38" ht="21" customHeight="1" x14ac:dyDescent="0.3">
      <c r="A244" s="172"/>
      <c r="B244" s="184"/>
      <c r="C244" s="94"/>
      <c r="D244" s="94"/>
      <c r="E244" s="185"/>
      <c r="F244" s="186"/>
      <c r="G244" s="185"/>
      <c r="H244" s="94"/>
      <c r="I244" s="184"/>
      <c r="J244" s="94"/>
      <c r="K244" s="94"/>
      <c r="L244" s="94"/>
      <c r="M244" s="94"/>
      <c r="N244" s="94"/>
      <c r="O244" s="94"/>
      <c r="P244" s="94"/>
      <c r="Q244" s="187"/>
      <c r="R244" s="187"/>
      <c r="S244" s="187"/>
      <c r="T244" s="187"/>
      <c r="U244" s="183"/>
      <c r="V244" s="183"/>
      <c r="W244" s="183"/>
      <c r="X244" s="185"/>
      <c r="Y244" s="94"/>
      <c r="Z244" s="172"/>
      <c r="AA244" s="172"/>
      <c r="AB244" s="172"/>
      <c r="AC244" s="172"/>
      <c r="AD244" s="172"/>
      <c r="AE244" s="267"/>
      <c r="AF244" s="172"/>
      <c r="AG244" s="172"/>
      <c r="AH244" s="172"/>
      <c r="AI244" s="172"/>
      <c r="AJ244" s="172"/>
      <c r="AK244" s="172"/>
      <c r="AL244" s="172"/>
    </row>
    <row r="245" spans="1:38" ht="21" customHeight="1" x14ac:dyDescent="0.3">
      <c r="A245" s="172"/>
      <c r="B245" s="184"/>
      <c r="C245" s="94"/>
      <c r="D245" s="94"/>
      <c r="E245" s="185"/>
      <c r="F245" s="186"/>
      <c r="G245" s="185"/>
      <c r="H245" s="94"/>
      <c r="I245" s="184"/>
      <c r="J245" s="94"/>
      <c r="K245" s="94"/>
      <c r="L245" s="94"/>
      <c r="M245" s="94"/>
      <c r="N245" s="94"/>
      <c r="O245" s="94"/>
      <c r="P245" s="94"/>
      <c r="Q245" s="187"/>
      <c r="R245" s="187"/>
      <c r="S245" s="187"/>
      <c r="T245" s="187"/>
      <c r="U245" s="183"/>
      <c r="V245" s="183"/>
      <c r="W245" s="183"/>
      <c r="X245" s="185"/>
      <c r="Y245" s="94"/>
      <c r="Z245" s="172"/>
      <c r="AA245" s="172"/>
      <c r="AB245" s="172"/>
      <c r="AC245" s="172"/>
      <c r="AD245" s="172"/>
      <c r="AE245" s="267"/>
      <c r="AF245" s="172"/>
      <c r="AG245" s="172"/>
      <c r="AH245" s="172"/>
      <c r="AI245" s="172"/>
      <c r="AJ245" s="172"/>
      <c r="AK245" s="172"/>
      <c r="AL245" s="172"/>
    </row>
    <row r="246" spans="1:38" ht="21" customHeight="1" x14ac:dyDescent="0.3">
      <c r="A246" s="172"/>
      <c r="B246" s="184"/>
      <c r="C246" s="94"/>
      <c r="D246" s="94"/>
      <c r="E246" s="185"/>
      <c r="F246" s="186"/>
      <c r="G246" s="185"/>
      <c r="H246" s="94"/>
      <c r="I246" s="184"/>
      <c r="J246" s="94"/>
      <c r="K246" s="94"/>
      <c r="L246" s="94"/>
      <c r="M246" s="94"/>
      <c r="N246" s="94"/>
      <c r="O246" s="94"/>
      <c r="P246" s="94"/>
      <c r="Q246" s="187"/>
      <c r="R246" s="187"/>
      <c r="S246" s="187"/>
      <c r="T246" s="187"/>
      <c r="U246" s="183"/>
      <c r="V246" s="183"/>
      <c r="W246" s="183"/>
      <c r="X246" s="185"/>
      <c r="Y246" s="94"/>
      <c r="Z246" s="172"/>
      <c r="AA246" s="172"/>
      <c r="AB246" s="172"/>
      <c r="AC246" s="172"/>
      <c r="AD246" s="172"/>
      <c r="AE246" s="267"/>
      <c r="AF246" s="172"/>
      <c r="AG246" s="172"/>
      <c r="AH246" s="172"/>
      <c r="AI246" s="172"/>
      <c r="AJ246" s="172"/>
      <c r="AK246" s="172"/>
      <c r="AL246" s="172"/>
    </row>
    <row r="247" spans="1:38" ht="21" customHeight="1" x14ac:dyDescent="0.3">
      <c r="A247" s="172"/>
      <c r="B247" s="184"/>
      <c r="C247" s="94"/>
      <c r="D247" s="94"/>
      <c r="E247" s="185"/>
      <c r="F247" s="186"/>
      <c r="G247" s="185"/>
      <c r="H247" s="94"/>
      <c r="I247" s="184"/>
      <c r="J247" s="94"/>
      <c r="K247" s="94"/>
      <c r="L247" s="94"/>
      <c r="M247" s="94"/>
      <c r="N247" s="94"/>
      <c r="O247" s="94"/>
      <c r="P247" s="94"/>
      <c r="Q247" s="187"/>
      <c r="R247" s="187"/>
      <c r="S247" s="187"/>
      <c r="T247" s="187"/>
      <c r="U247" s="183"/>
      <c r="V247" s="183"/>
      <c r="W247" s="183"/>
      <c r="X247" s="185"/>
      <c r="Y247" s="94"/>
      <c r="Z247" s="172"/>
      <c r="AA247" s="172"/>
      <c r="AB247" s="172"/>
      <c r="AC247" s="172"/>
      <c r="AD247" s="172"/>
      <c r="AE247" s="267"/>
      <c r="AF247" s="172"/>
      <c r="AG247" s="172"/>
      <c r="AH247" s="172"/>
      <c r="AI247" s="172"/>
      <c r="AJ247" s="172"/>
      <c r="AK247" s="172"/>
      <c r="AL247" s="172"/>
    </row>
    <row r="248" spans="1:38" ht="21" customHeight="1" x14ac:dyDescent="0.3">
      <c r="A248" s="172"/>
      <c r="B248" s="184"/>
      <c r="C248" s="94"/>
      <c r="D248" s="94"/>
      <c r="E248" s="185"/>
      <c r="F248" s="186"/>
      <c r="G248" s="185"/>
      <c r="H248" s="94"/>
      <c r="I248" s="184"/>
      <c r="J248" s="94"/>
      <c r="K248" s="94"/>
      <c r="L248" s="94"/>
      <c r="M248" s="94"/>
      <c r="N248" s="94"/>
      <c r="O248" s="94"/>
      <c r="P248" s="94"/>
      <c r="Q248" s="187"/>
      <c r="R248" s="187"/>
      <c r="S248" s="187"/>
      <c r="T248" s="187"/>
      <c r="U248" s="183"/>
      <c r="V248" s="183"/>
      <c r="W248" s="183"/>
      <c r="X248" s="185"/>
      <c r="Y248" s="94"/>
      <c r="Z248" s="172"/>
      <c r="AA248" s="172"/>
      <c r="AB248" s="172"/>
      <c r="AC248" s="172"/>
      <c r="AD248" s="172"/>
      <c r="AE248" s="267"/>
      <c r="AF248" s="172"/>
      <c r="AG248" s="172"/>
      <c r="AH248" s="172"/>
      <c r="AI248" s="172"/>
      <c r="AJ248" s="172"/>
      <c r="AK248" s="172"/>
      <c r="AL248" s="172"/>
    </row>
    <row r="249" spans="1:38" ht="21" customHeight="1" x14ac:dyDescent="0.3">
      <c r="A249" s="172"/>
      <c r="B249" s="184"/>
      <c r="C249" s="94"/>
      <c r="D249" s="94"/>
      <c r="E249" s="185"/>
      <c r="F249" s="186"/>
      <c r="G249" s="185"/>
      <c r="H249" s="94"/>
      <c r="I249" s="184"/>
      <c r="J249" s="94"/>
      <c r="K249" s="94"/>
      <c r="L249" s="94"/>
      <c r="M249" s="94"/>
      <c r="N249" s="94"/>
      <c r="O249" s="94"/>
      <c r="P249" s="94"/>
      <c r="Q249" s="187"/>
      <c r="R249" s="187"/>
      <c r="S249" s="187"/>
      <c r="T249" s="187"/>
      <c r="U249" s="183"/>
      <c r="V249" s="183"/>
      <c r="W249" s="183"/>
      <c r="X249" s="185"/>
      <c r="Y249" s="94"/>
      <c r="Z249" s="172"/>
      <c r="AA249" s="172"/>
      <c r="AB249" s="172"/>
      <c r="AC249" s="172"/>
      <c r="AD249" s="172"/>
      <c r="AE249" s="267"/>
      <c r="AF249" s="172"/>
      <c r="AG249" s="172"/>
      <c r="AH249" s="172"/>
      <c r="AI249" s="172"/>
      <c r="AJ249" s="172"/>
      <c r="AK249" s="172"/>
      <c r="AL249" s="172"/>
    </row>
    <row r="250" spans="1:38" ht="21" customHeight="1" x14ac:dyDescent="0.3">
      <c r="A250" s="172"/>
      <c r="B250" s="184"/>
      <c r="C250" s="94"/>
      <c r="D250" s="94"/>
      <c r="E250" s="185"/>
      <c r="F250" s="186"/>
      <c r="G250" s="185"/>
      <c r="H250" s="94"/>
      <c r="I250" s="184"/>
      <c r="J250" s="94"/>
      <c r="K250" s="94"/>
      <c r="L250" s="94"/>
      <c r="M250" s="94"/>
      <c r="N250" s="94"/>
      <c r="O250" s="94"/>
      <c r="P250" s="94"/>
      <c r="Q250" s="187"/>
      <c r="R250" s="187"/>
      <c r="S250" s="187"/>
      <c r="T250" s="187"/>
      <c r="U250" s="183"/>
      <c r="V250" s="183"/>
      <c r="W250" s="183"/>
      <c r="X250" s="185"/>
      <c r="Y250" s="94"/>
      <c r="Z250" s="172"/>
      <c r="AA250" s="172"/>
      <c r="AB250" s="172"/>
      <c r="AC250" s="172"/>
      <c r="AD250" s="172"/>
      <c r="AE250" s="267"/>
      <c r="AF250" s="172"/>
      <c r="AG250" s="172"/>
      <c r="AH250" s="172"/>
      <c r="AI250" s="172"/>
      <c r="AJ250" s="172"/>
      <c r="AK250" s="172"/>
      <c r="AL250" s="172"/>
    </row>
    <row r="251" spans="1:38" ht="21" customHeight="1" x14ac:dyDescent="0.3">
      <c r="A251" s="172"/>
      <c r="B251" s="184"/>
      <c r="C251" s="94"/>
      <c r="D251" s="94"/>
      <c r="E251" s="185"/>
      <c r="F251" s="186"/>
      <c r="G251" s="185"/>
      <c r="H251" s="94"/>
      <c r="I251" s="184"/>
      <c r="J251" s="94"/>
      <c r="K251" s="94"/>
      <c r="L251" s="94"/>
      <c r="M251" s="94"/>
      <c r="N251" s="94"/>
      <c r="O251" s="94"/>
      <c r="P251" s="94"/>
      <c r="Q251" s="187"/>
      <c r="R251" s="187"/>
      <c r="S251" s="187"/>
      <c r="T251" s="187"/>
      <c r="U251" s="183"/>
      <c r="V251" s="183"/>
      <c r="W251" s="183"/>
      <c r="X251" s="185"/>
      <c r="Y251" s="94"/>
      <c r="Z251" s="172"/>
      <c r="AA251" s="172"/>
      <c r="AB251" s="172"/>
      <c r="AC251" s="172"/>
      <c r="AD251" s="172"/>
      <c r="AE251" s="267"/>
      <c r="AF251" s="172"/>
      <c r="AG251" s="172"/>
      <c r="AH251" s="172"/>
      <c r="AI251" s="172"/>
      <c r="AJ251" s="172"/>
      <c r="AK251" s="172"/>
      <c r="AL251" s="172"/>
    </row>
    <row r="252" spans="1:38" ht="21" customHeight="1" x14ac:dyDescent="0.3">
      <c r="A252" s="172"/>
      <c r="B252" s="184"/>
      <c r="C252" s="94"/>
      <c r="D252" s="94"/>
      <c r="E252" s="185"/>
      <c r="F252" s="186"/>
      <c r="G252" s="185"/>
      <c r="H252" s="94"/>
      <c r="I252" s="184"/>
      <c r="J252" s="94"/>
      <c r="K252" s="94"/>
      <c r="L252" s="94"/>
      <c r="M252" s="94"/>
      <c r="N252" s="94"/>
      <c r="O252" s="94"/>
      <c r="P252" s="94"/>
      <c r="Q252" s="187"/>
      <c r="R252" s="187"/>
      <c r="S252" s="187"/>
      <c r="T252" s="187"/>
      <c r="U252" s="183"/>
      <c r="V252" s="183"/>
      <c r="W252" s="183"/>
      <c r="X252" s="185"/>
      <c r="Y252" s="94"/>
      <c r="Z252" s="172"/>
      <c r="AA252" s="172"/>
      <c r="AB252" s="172"/>
      <c r="AC252" s="172"/>
      <c r="AD252" s="172"/>
      <c r="AE252" s="267"/>
      <c r="AF252" s="172"/>
      <c r="AG252" s="172"/>
      <c r="AH252" s="172"/>
      <c r="AI252" s="172"/>
      <c r="AJ252" s="172"/>
      <c r="AK252" s="172"/>
      <c r="AL252" s="172"/>
    </row>
    <row r="253" spans="1:38" ht="21" customHeight="1" x14ac:dyDescent="0.3">
      <c r="A253" s="172"/>
      <c r="B253" s="184"/>
      <c r="C253" s="94"/>
      <c r="D253" s="94"/>
      <c r="E253" s="185"/>
      <c r="F253" s="186"/>
      <c r="G253" s="185"/>
      <c r="H253" s="94"/>
      <c r="I253" s="184"/>
      <c r="J253" s="94"/>
      <c r="K253" s="94"/>
      <c r="L253" s="94"/>
      <c r="M253" s="94"/>
      <c r="N253" s="94"/>
      <c r="O253" s="94"/>
      <c r="P253" s="94"/>
      <c r="Q253" s="187"/>
      <c r="R253" s="187"/>
      <c r="S253" s="187"/>
      <c r="T253" s="187"/>
      <c r="U253" s="183"/>
      <c r="V253" s="183"/>
      <c r="W253" s="183"/>
      <c r="X253" s="185"/>
      <c r="Y253" s="94"/>
      <c r="Z253" s="172"/>
      <c r="AA253" s="172"/>
      <c r="AB253" s="172"/>
      <c r="AC253" s="172"/>
      <c r="AD253" s="172"/>
      <c r="AE253" s="267"/>
      <c r="AF253" s="172"/>
      <c r="AG253" s="172"/>
      <c r="AH253" s="172"/>
      <c r="AI253" s="172"/>
      <c r="AJ253" s="172"/>
      <c r="AK253" s="172"/>
      <c r="AL253" s="172"/>
    </row>
    <row r="254" spans="1:38" ht="21" customHeight="1" x14ac:dyDescent="0.3">
      <c r="A254" s="172"/>
      <c r="B254" s="184"/>
      <c r="C254" s="94"/>
      <c r="D254" s="94"/>
      <c r="E254" s="185"/>
      <c r="F254" s="186"/>
      <c r="G254" s="185"/>
      <c r="H254" s="94"/>
      <c r="I254" s="184"/>
      <c r="J254" s="94"/>
      <c r="K254" s="94"/>
      <c r="L254" s="94"/>
      <c r="M254" s="94"/>
      <c r="N254" s="94"/>
      <c r="O254" s="94"/>
      <c r="P254" s="94"/>
      <c r="Q254" s="187"/>
      <c r="R254" s="187"/>
      <c r="S254" s="187"/>
      <c r="T254" s="187"/>
      <c r="U254" s="183"/>
      <c r="V254" s="183"/>
      <c r="W254" s="183"/>
      <c r="X254" s="185"/>
      <c r="Y254" s="94"/>
      <c r="Z254" s="172"/>
      <c r="AA254" s="172"/>
      <c r="AB254" s="172"/>
      <c r="AC254" s="172"/>
      <c r="AD254" s="172"/>
      <c r="AE254" s="267"/>
      <c r="AF254" s="172"/>
      <c r="AG254" s="172"/>
      <c r="AH254" s="172"/>
      <c r="AI254" s="172"/>
      <c r="AJ254" s="172"/>
      <c r="AK254" s="172"/>
      <c r="AL254" s="172"/>
    </row>
    <row r="255" spans="1:38" ht="21" customHeight="1" x14ac:dyDescent="0.3">
      <c r="A255" s="172"/>
      <c r="B255" s="184"/>
      <c r="C255" s="94"/>
      <c r="D255" s="94"/>
      <c r="E255" s="185"/>
      <c r="F255" s="186"/>
      <c r="G255" s="185"/>
      <c r="H255" s="94"/>
      <c r="I255" s="184"/>
      <c r="J255" s="94"/>
      <c r="K255" s="94"/>
      <c r="L255" s="94"/>
      <c r="M255" s="94"/>
      <c r="N255" s="94"/>
      <c r="O255" s="94"/>
      <c r="P255" s="94"/>
      <c r="Q255" s="187"/>
      <c r="R255" s="187"/>
      <c r="S255" s="187"/>
      <c r="T255" s="187"/>
      <c r="U255" s="183"/>
      <c r="V255" s="183"/>
      <c r="W255" s="183"/>
      <c r="X255" s="185"/>
      <c r="Y255" s="94"/>
      <c r="Z255" s="172"/>
      <c r="AA255" s="172"/>
      <c r="AB255" s="172"/>
      <c r="AC255" s="172"/>
      <c r="AD255" s="172"/>
      <c r="AE255" s="267"/>
      <c r="AF255" s="172"/>
      <c r="AG255" s="172"/>
      <c r="AH255" s="172"/>
      <c r="AI255" s="172"/>
      <c r="AJ255" s="172"/>
      <c r="AK255" s="172"/>
      <c r="AL255" s="172"/>
    </row>
    <row r="256" spans="1:38" ht="21" customHeight="1" x14ac:dyDescent="0.3">
      <c r="A256" s="172"/>
      <c r="B256" s="184"/>
      <c r="C256" s="94"/>
      <c r="D256" s="94"/>
      <c r="E256" s="185"/>
      <c r="F256" s="186"/>
      <c r="G256" s="185"/>
      <c r="H256" s="94"/>
      <c r="I256" s="184"/>
      <c r="J256" s="94"/>
      <c r="K256" s="94"/>
      <c r="L256" s="94"/>
      <c r="M256" s="94"/>
      <c r="N256" s="94"/>
      <c r="O256" s="94"/>
      <c r="P256" s="94"/>
      <c r="Q256" s="187"/>
      <c r="R256" s="187"/>
      <c r="S256" s="187"/>
      <c r="T256" s="187"/>
      <c r="U256" s="183"/>
      <c r="V256" s="183"/>
      <c r="W256" s="183"/>
      <c r="X256" s="185"/>
      <c r="Y256" s="94"/>
      <c r="Z256" s="172"/>
      <c r="AA256" s="172"/>
      <c r="AB256" s="172"/>
      <c r="AC256" s="172"/>
      <c r="AD256" s="172"/>
      <c r="AE256" s="267"/>
      <c r="AF256" s="172"/>
      <c r="AG256" s="172"/>
      <c r="AH256" s="172"/>
      <c r="AI256" s="172"/>
      <c r="AJ256" s="172"/>
      <c r="AK256" s="172"/>
      <c r="AL256" s="172"/>
    </row>
    <row r="257" spans="1:38" ht="21" customHeight="1" x14ac:dyDescent="0.3">
      <c r="A257" s="172"/>
      <c r="B257" s="184"/>
      <c r="C257" s="94"/>
      <c r="D257" s="94"/>
      <c r="E257" s="185"/>
      <c r="F257" s="186"/>
      <c r="G257" s="185"/>
      <c r="H257" s="94"/>
      <c r="I257" s="184"/>
      <c r="J257" s="94"/>
      <c r="K257" s="94"/>
      <c r="L257" s="94"/>
      <c r="M257" s="94"/>
      <c r="N257" s="94"/>
      <c r="O257" s="94"/>
      <c r="P257" s="94"/>
      <c r="Q257" s="187"/>
      <c r="R257" s="187"/>
      <c r="S257" s="187"/>
      <c r="T257" s="187"/>
      <c r="U257" s="183"/>
      <c r="V257" s="183"/>
      <c r="W257" s="183"/>
      <c r="X257" s="185"/>
      <c r="Y257" s="94"/>
      <c r="Z257" s="172"/>
      <c r="AA257" s="172"/>
      <c r="AB257" s="172"/>
      <c r="AC257" s="172"/>
      <c r="AD257" s="172"/>
      <c r="AE257" s="267"/>
      <c r="AF257" s="172"/>
      <c r="AG257" s="172"/>
      <c r="AH257" s="172"/>
      <c r="AI257" s="172"/>
      <c r="AJ257" s="172"/>
      <c r="AK257" s="172"/>
      <c r="AL257" s="172"/>
    </row>
    <row r="258" spans="1:38" ht="21" customHeight="1" x14ac:dyDescent="0.3">
      <c r="A258" s="172"/>
      <c r="B258" s="184"/>
      <c r="C258" s="94"/>
      <c r="D258" s="94"/>
      <c r="E258" s="185"/>
      <c r="F258" s="186"/>
      <c r="G258" s="185"/>
      <c r="H258" s="94"/>
      <c r="I258" s="184"/>
      <c r="J258" s="94"/>
      <c r="K258" s="94"/>
      <c r="L258" s="94"/>
      <c r="M258" s="94"/>
      <c r="N258" s="94"/>
      <c r="O258" s="94"/>
      <c r="P258" s="94"/>
      <c r="Q258" s="187"/>
      <c r="R258" s="187"/>
      <c r="S258" s="187"/>
      <c r="T258" s="187"/>
      <c r="U258" s="183"/>
      <c r="V258" s="183"/>
      <c r="W258" s="183"/>
      <c r="X258" s="185"/>
      <c r="Y258" s="94"/>
      <c r="Z258" s="172"/>
      <c r="AA258" s="172"/>
      <c r="AB258" s="172"/>
      <c r="AC258" s="172"/>
      <c r="AD258" s="172"/>
      <c r="AE258" s="267"/>
      <c r="AF258" s="172"/>
      <c r="AG258" s="172"/>
      <c r="AH258" s="172"/>
      <c r="AI258" s="172"/>
      <c r="AJ258" s="172"/>
      <c r="AK258" s="172"/>
      <c r="AL258" s="172"/>
    </row>
    <row r="259" spans="1:38" ht="21" customHeight="1" x14ac:dyDescent="0.3">
      <c r="A259" s="172"/>
      <c r="B259" s="184"/>
      <c r="C259" s="94"/>
      <c r="D259" s="94"/>
      <c r="E259" s="185"/>
      <c r="F259" s="186"/>
      <c r="G259" s="185"/>
      <c r="H259" s="94"/>
      <c r="I259" s="184"/>
      <c r="J259" s="94"/>
      <c r="K259" s="94"/>
      <c r="L259" s="94"/>
      <c r="M259" s="94"/>
      <c r="N259" s="94"/>
      <c r="O259" s="94"/>
      <c r="P259" s="94"/>
      <c r="Q259" s="187"/>
      <c r="R259" s="187"/>
      <c r="S259" s="187"/>
      <c r="T259" s="187"/>
      <c r="U259" s="183"/>
      <c r="V259" s="183"/>
      <c r="W259" s="183"/>
      <c r="X259" s="185"/>
      <c r="Y259" s="94"/>
      <c r="Z259" s="172"/>
      <c r="AA259" s="172"/>
      <c r="AB259" s="172"/>
      <c r="AC259" s="172"/>
      <c r="AD259" s="172"/>
      <c r="AE259" s="267"/>
      <c r="AF259" s="172"/>
      <c r="AG259" s="172"/>
      <c r="AH259" s="172"/>
      <c r="AI259" s="172"/>
      <c r="AJ259" s="172"/>
      <c r="AK259" s="172"/>
      <c r="AL259" s="172"/>
    </row>
    <row r="260" spans="1:38" ht="21" customHeight="1" x14ac:dyDescent="0.3">
      <c r="A260" s="172"/>
      <c r="B260" s="184"/>
      <c r="C260" s="94"/>
      <c r="D260" s="94"/>
      <c r="E260" s="185"/>
      <c r="F260" s="186"/>
      <c r="G260" s="185"/>
      <c r="H260" s="94"/>
      <c r="I260" s="184"/>
      <c r="J260" s="94"/>
      <c r="K260" s="94"/>
      <c r="L260" s="94"/>
      <c r="M260" s="94"/>
      <c r="N260" s="94"/>
      <c r="O260" s="94"/>
      <c r="P260" s="94"/>
      <c r="Q260" s="187"/>
      <c r="R260" s="187"/>
      <c r="S260" s="187"/>
      <c r="T260" s="187"/>
      <c r="U260" s="183"/>
      <c r="V260" s="183"/>
      <c r="W260" s="183"/>
      <c r="X260" s="185"/>
      <c r="Y260" s="94"/>
      <c r="Z260" s="172"/>
      <c r="AA260" s="172"/>
      <c r="AB260" s="172"/>
      <c r="AC260" s="172"/>
      <c r="AD260" s="172"/>
      <c r="AE260" s="267"/>
      <c r="AF260" s="172"/>
      <c r="AG260" s="172"/>
      <c r="AH260" s="172"/>
      <c r="AI260" s="172"/>
      <c r="AJ260" s="172"/>
      <c r="AK260" s="172"/>
      <c r="AL260" s="172"/>
    </row>
    <row r="261" spans="1:38" ht="21" customHeight="1" x14ac:dyDescent="0.3">
      <c r="A261" s="172"/>
      <c r="B261" s="184"/>
      <c r="C261" s="94"/>
      <c r="D261" s="94"/>
      <c r="E261" s="185"/>
      <c r="F261" s="186"/>
      <c r="G261" s="185"/>
      <c r="H261" s="94"/>
      <c r="I261" s="184"/>
      <c r="J261" s="94"/>
      <c r="K261" s="94"/>
      <c r="L261" s="94"/>
      <c r="M261" s="94"/>
      <c r="N261" s="94"/>
      <c r="O261" s="94"/>
      <c r="P261" s="94"/>
      <c r="Q261" s="187"/>
      <c r="R261" s="187"/>
      <c r="S261" s="187"/>
      <c r="T261" s="187"/>
      <c r="U261" s="183"/>
      <c r="V261" s="183"/>
      <c r="W261" s="183"/>
      <c r="X261" s="185"/>
      <c r="Y261" s="94"/>
      <c r="Z261" s="172"/>
      <c r="AA261" s="172"/>
      <c r="AB261" s="172"/>
      <c r="AC261" s="172"/>
      <c r="AD261" s="172"/>
      <c r="AE261" s="267"/>
      <c r="AF261" s="172"/>
      <c r="AG261" s="172"/>
      <c r="AH261" s="172"/>
      <c r="AI261" s="172"/>
      <c r="AJ261" s="172"/>
      <c r="AK261" s="172"/>
      <c r="AL261" s="172"/>
    </row>
    <row r="262" spans="1:38" ht="21" customHeight="1" x14ac:dyDescent="0.3">
      <c r="A262" s="172"/>
      <c r="B262" s="184"/>
      <c r="C262" s="94"/>
      <c r="D262" s="94"/>
      <c r="E262" s="185"/>
      <c r="F262" s="186"/>
      <c r="G262" s="185"/>
      <c r="H262" s="94"/>
      <c r="I262" s="184"/>
      <c r="J262" s="94"/>
      <c r="K262" s="94"/>
      <c r="L262" s="94"/>
      <c r="M262" s="94"/>
      <c r="N262" s="94"/>
      <c r="O262" s="94"/>
      <c r="P262" s="94"/>
      <c r="Q262" s="187"/>
      <c r="R262" s="187"/>
      <c r="S262" s="187"/>
      <c r="T262" s="187"/>
      <c r="U262" s="183"/>
      <c r="V262" s="183"/>
      <c r="W262" s="183"/>
      <c r="X262" s="185"/>
      <c r="Y262" s="94"/>
      <c r="Z262" s="172"/>
      <c r="AA262" s="172"/>
      <c r="AB262" s="172"/>
      <c r="AC262" s="172"/>
      <c r="AD262" s="172"/>
      <c r="AE262" s="267"/>
      <c r="AF262" s="172"/>
      <c r="AG262" s="172"/>
      <c r="AH262" s="172"/>
      <c r="AI262" s="172"/>
      <c r="AJ262" s="172"/>
      <c r="AK262" s="172"/>
      <c r="AL262" s="172"/>
    </row>
    <row r="263" spans="1:38" ht="21" customHeight="1" x14ac:dyDescent="0.3">
      <c r="A263" s="172"/>
      <c r="B263" s="184"/>
      <c r="C263" s="94"/>
      <c r="D263" s="94"/>
      <c r="E263" s="185"/>
      <c r="F263" s="186"/>
      <c r="G263" s="185"/>
      <c r="H263" s="94"/>
      <c r="I263" s="184"/>
      <c r="J263" s="94"/>
      <c r="K263" s="94"/>
      <c r="L263" s="94"/>
      <c r="M263" s="94"/>
      <c r="N263" s="94"/>
      <c r="O263" s="94"/>
      <c r="P263" s="94"/>
      <c r="Q263" s="187"/>
      <c r="R263" s="187"/>
      <c r="S263" s="187"/>
      <c r="T263" s="187"/>
      <c r="U263" s="183"/>
      <c r="V263" s="183"/>
      <c r="W263" s="183"/>
      <c r="X263" s="185"/>
      <c r="Y263" s="94"/>
      <c r="Z263" s="172"/>
      <c r="AA263" s="172"/>
      <c r="AB263" s="172"/>
      <c r="AC263" s="172"/>
      <c r="AD263" s="172"/>
      <c r="AE263" s="267"/>
      <c r="AF263" s="172"/>
      <c r="AG263" s="172"/>
      <c r="AH263" s="172"/>
      <c r="AI263" s="172"/>
      <c r="AJ263" s="172"/>
      <c r="AK263" s="172"/>
      <c r="AL263" s="172"/>
    </row>
    <row r="264" spans="1:38" ht="21" customHeight="1" x14ac:dyDescent="0.3">
      <c r="A264" s="172"/>
      <c r="B264" s="184"/>
      <c r="C264" s="94"/>
      <c r="D264" s="94"/>
      <c r="E264" s="185"/>
      <c r="F264" s="186"/>
      <c r="G264" s="185"/>
      <c r="H264" s="94"/>
      <c r="I264" s="184"/>
      <c r="J264" s="94"/>
      <c r="K264" s="94"/>
      <c r="L264" s="94"/>
      <c r="M264" s="94"/>
      <c r="N264" s="94"/>
      <c r="O264" s="94"/>
      <c r="P264" s="94"/>
      <c r="Q264" s="187"/>
      <c r="R264" s="187"/>
      <c r="S264" s="187"/>
      <c r="T264" s="187"/>
      <c r="U264" s="183"/>
      <c r="V264" s="183"/>
      <c r="W264" s="183"/>
      <c r="X264" s="185"/>
      <c r="Y264" s="94"/>
      <c r="Z264" s="172"/>
      <c r="AA264" s="172"/>
      <c r="AB264" s="172"/>
      <c r="AC264" s="172"/>
      <c r="AD264" s="172"/>
      <c r="AE264" s="267"/>
      <c r="AF264" s="172"/>
      <c r="AG264" s="172"/>
      <c r="AH264" s="172"/>
      <c r="AI264" s="172"/>
      <c r="AJ264" s="172"/>
      <c r="AK264" s="172"/>
      <c r="AL264" s="172"/>
    </row>
    <row r="265" spans="1:38" ht="21" customHeight="1" x14ac:dyDescent="0.3">
      <c r="A265" s="172"/>
      <c r="B265" s="184"/>
      <c r="C265" s="94"/>
      <c r="D265" s="94"/>
      <c r="E265" s="185"/>
      <c r="F265" s="186"/>
      <c r="G265" s="185"/>
      <c r="H265" s="94"/>
      <c r="I265" s="184"/>
      <c r="J265" s="94"/>
      <c r="K265" s="94"/>
      <c r="L265" s="94"/>
      <c r="M265" s="94"/>
      <c r="N265" s="94"/>
      <c r="O265" s="94"/>
      <c r="P265" s="94"/>
      <c r="Q265" s="187"/>
      <c r="R265" s="187"/>
      <c r="S265" s="187"/>
      <c r="T265" s="187"/>
      <c r="U265" s="183"/>
      <c r="V265" s="183"/>
      <c r="W265" s="183"/>
      <c r="X265" s="185"/>
      <c r="Y265" s="94"/>
      <c r="Z265" s="172"/>
      <c r="AA265" s="172"/>
      <c r="AB265" s="172"/>
      <c r="AC265" s="172"/>
      <c r="AD265" s="172"/>
      <c r="AE265" s="267"/>
      <c r="AF265" s="172"/>
      <c r="AG265" s="172"/>
      <c r="AH265" s="172"/>
      <c r="AI265" s="172"/>
      <c r="AJ265" s="172"/>
      <c r="AK265" s="172"/>
      <c r="AL265" s="172"/>
    </row>
    <row r="266" spans="1:38" ht="21" customHeight="1" x14ac:dyDescent="0.3">
      <c r="A266" s="172"/>
      <c r="B266" s="184"/>
      <c r="C266" s="94"/>
      <c r="D266" s="94"/>
      <c r="E266" s="185"/>
      <c r="F266" s="186"/>
      <c r="G266" s="185"/>
      <c r="H266" s="94"/>
      <c r="I266" s="184"/>
      <c r="J266" s="94"/>
      <c r="K266" s="94"/>
      <c r="L266" s="94"/>
      <c r="M266" s="94"/>
      <c r="N266" s="94"/>
      <c r="O266" s="94"/>
      <c r="P266" s="94"/>
      <c r="Q266" s="187"/>
      <c r="R266" s="187"/>
      <c r="S266" s="187"/>
      <c r="T266" s="187"/>
      <c r="U266" s="183"/>
      <c r="V266" s="183"/>
      <c r="W266" s="183"/>
      <c r="X266" s="185"/>
      <c r="Y266" s="94"/>
      <c r="Z266" s="172"/>
      <c r="AA266" s="172"/>
      <c r="AB266" s="172"/>
      <c r="AC266" s="172"/>
      <c r="AD266" s="172"/>
      <c r="AE266" s="267"/>
      <c r="AF266" s="172"/>
      <c r="AG266" s="172"/>
      <c r="AH266" s="172"/>
      <c r="AI266" s="172"/>
      <c r="AJ266" s="172"/>
      <c r="AK266" s="172"/>
      <c r="AL266" s="172"/>
    </row>
    <row r="267" spans="1:38" ht="21" customHeight="1" x14ac:dyDescent="0.3">
      <c r="A267" s="172"/>
      <c r="B267" s="184"/>
      <c r="C267" s="94"/>
      <c r="D267" s="94"/>
      <c r="E267" s="185"/>
      <c r="F267" s="186"/>
      <c r="G267" s="185"/>
      <c r="H267" s="94"/>
      <c r="I267" s="184"/>
      <c r="J267" s="94"/>
      <c r="K267" s="94"/>
      <c r="L267" s="94"/>
      <c r="M267" s="94"/>
      <c r="N267" s="94"/>
      <c r="O267" s="94"/>
      <c r="P267" s="94"/>
      <c r="Q267" s="187"/>
      <c r="R267" s="187"/>
      <c r="S267" s="187"/>
      <c r="T267" s="187"/>
      <c r="U267" s="183"/>
      <c r="V267" s="183"/>
      <c r="W267" s="183"/>
      <c r="X267" s="185"/>
      <c r="Y267" s="94"/>
      <c r="Z267" s="172"/>
      <c r="AA267" s="172"/>
      <c r="AB267" s="172"/>
      <c r="AC267" s="172"/>
      <c r="AD267" s="172"/>
      <c r="AE267" s="267"/>
      <c r="AF267" s="172"/>
      <c r="AG267" s="172"/>
      <c r="AH267" s="172"/>
      <c r="AI267" s="172"/>
      <c r="AJ267" s="172"/>
      <c r="AK267" s="172"/>
      <c r="AL267" s="172"/>
    </row>
    <row r="268" spans="1:38" ht="21" customHeight="1" x14ac:dyDescent="0.3">
      <c r="A268" s="172"/>
      <c r="B268" s="184"/>
      <c r="C268" s="94"/>
      <c r="D268" s="94"/>
      <c r="E268" s="185"/>
      <c r="F268" s="186"/>
      <c r="G268" s="185"/>
      <c r="H268" s="94"/>
      <c r="I268" s="184"/>
      <c r="J268" s="94"/>
      <c r="K268" s="94"/>
      <c r="L268" s="94"/>
      <c r="M268" s="94"/>
      <c r="N268" s="94"/>
      <c r="O268" s="94"/>
      <c r="P268" s="94"/>
      <c r="Q268" s="187"/>
      <c r="R268" s="187"/>
      <c r="S268" s="187"/>
      <c r="T268" s="187"/>
      <c r="U268" s="183"/>
      <c r="V268" s="183"/>
      <c r="W268" s="183"/>
      <c r="X268" s="185"/>
      <c r="Y268" s="94"/>
      <c r="Z268" s="172"/>
      <c r="AA268" s="172"/>
      <c r="AB268" s="172"/>
      <c r="AC268" s="172"/>
      <c r="AD268" s="172"/>
      <c r="AE268" s="267"/>
      <c r="AF268" s="172"/>
      <c r="AG268" s="172"/>
      <c r="AH268" s="172"/>
      <c r="AI268" s="172"/>
      <c r="AJ268" s="172"/>
      <c r="AK268" s="172"/>
      <c r="AL268" s="172"/>
    </row>
    <row r="269" spans="1:38" ht="21" customHeight="1" x14ac:dyDescent="0.3">
      <c r="A269" s="172"/>
      <c r="B269" s="184"/>
      <c r="C269" s="94"/>
      <c r="D269" s="94"/>
      <c r="E269" s="185"/>
      <c r="F269" s="186"/>
      <c r="G269" s="185"/>
      <c r="H269" s="94"/>
      <c r="I269" s="184"/>
      <c r="J269" s="94"/>
      <c r="K269" s="94"/>
      <c r="L269" s="94"/>
      <c r="M269" s="94"/>
      <c r="N269" s="94"/>
      <c r="O269" s="94"/>
      <c r="P269" s="94"/>
      <c r="Q269" s="187"/>
      <c r="R269" s="187"/>
      <c r="S269" s="187"/>
      <c r="T269" s="187"/>
      <c r="U269" s="183"/>
      <c r="V269" s="183"/>
      <c r="W269" s="183"/>
      <c r="X269" s="185"/>
      <c r="Y269" s="94"/>
      <c r="Z269" s="172"/>
      <c r="AA269" s="172"/>
      <c r="AB269" s="172"/>
      <c r="AC269" s="172"/>
      <c r="AD269" s="172"/>
      <c r="AE269" s="267"/>
      <c r="AF269" s="172"/>
      <c r="AG269" s="172"/>
      <c r="AH269" s="172"/>
      <c r="AI269" s="172"/>
      <c r="AJ269" s="172"/>
      <c r="AK269" s="172"/>
      <c r="AL269" s="172"/>
    </row>
    <row r="270" spans="1:38" ht="21" customHeight="1" x14ac:dyDescent="0.3">
      <c r="A270" s="172"/>
      <c r="B270" s="184"/>
      <c r="C270" s="94"/>
      <c r="D270" s="94"/>
      <c r="E270" s="185"/>
      <c r="F270" s="186"/>
      <c r="G270" s="185"/>
      <c r="H270" s="94"/>
      <c r="I270" s="184"/>
      <c r="J270" s="94"/>
      <c r="K270" s="94"/>
      <c r="L270" s="94"/>
      <c r="M270" s="94"/>
      <c r="N270" s="94"/>
      <c r="O270" s="94"/>
      <c r="P270" s="94"/>
      <c r="Q270" s="187"/>
      <c r="R270" s="187"/>
      <c r="S270" s="187"/>
      <c r="T270" s="187"/>
      <c r="U270" s="183"/>
      <c r="V270" s="183"/>
      <c r="W270" s="183"/>
      <c r="X270" s="185"/>
      <c r="Y270" s="94"/>
      <c r="Z270" s="172"/>
      <c r="AA270" s="172"/>
      <c r="AB270" s="172"/>
      <c r="AC270" s="172"/>
      <c r="AD270" s="172"/>
      <c r="AE270" s="267"/>
      <c r="AF270" s="172"/>
      <c r="AG270" s="172"/>
      <c r="AH270" s="172"/>
      <c r="AI270" s="172"/>
      <c r="AJ270" s="172"/>
      <c r="AK270" s="172"/>
      <c r="AL270" s="172"/>
    </row>
    <row r="271" spans="1:38" ht="21" customHeight="1" x14ac:dyDescent="0.3">
      <c r="A271" s="172"/>
      <c r="B271" s="184"/>
      <c r="C271" s="94"/>
      <c r="D271" s="94"/>
      <c r="E271" s="185"/>
      <c r="F271" s="186"/>
      <c r="G271" s="185"/>
      <c r="H271" s="94"/>
      <c r="I271" s="184"/>
      <c r="J271" s="94"/>
      <c r="K271" s="94"/>
      <c r="L271" s="94"/>
      <c r="M271" s="94"/>
      <c r="N271" s="94"/>
      <c r="O271" s="94"/>
      <c r="P271" s="94"/>
      <c r="Q271" s="187"/>
      <c r="R271" s="187"/>
      <c r="S271" s="187"/>
      <c r="T271" s="187"/>
      <c r="U271" s="183"/>
      <c r="V271" s="183"/>
      <c r="W271" s="183"/>
      <c r="X271" s="185"/>
      <c r="Y271" s="94"/>
      <c r="Z271" s="172"/>
      <c r="AA271" s="172"/>
      <c r="AB271" s="172"/>
      <c r="AC271" s="172"/>
      <c r="AD271" s="172"/>
      <c r="AE271" s="267"/>
      <c r="AF271" s="172"/>
      <c r="AG271" s="172"/>
      <c r="AH271" s="172"/>
      <c r="AI271" s="172"/>
      <c r="AJ271" s="172"/>
      <c r="AK271" s="172"/>
      <c r="AL271" s="172"/>
    </row>
    <row r="272" spans="1:38" ht="21" customHeight="1" x14ac:dyDescent="0.3">
      <c r="A272" s="172"/>
      <c r="B272" s="184"/>
      <c r="C272" s="94"/>
      <c r="D272" s="94"/>
      <c r="E272" s="185"/>
      <c r="F272" s="186"/>
      <c r="G272" s="185"/>
      <c r="H272" s="94"/>
      <c r="I272" s="184"/>
      <c r="J272" s="94"/>
      <c r="K272" s="94"/>
      <c r="L272" s="94"/>
      <c r="M272" s="94"/>
      <c r="N272" s="94"/>
      <c r="O272" s="94"/>
      <c r="P272" s="94"/>
      <c r="Q272" s="187"/>
      <c r="R272" s="187"/>
      <c r="S272" s="187"/>
      <c r="T272" s="187"/>
      <c r="U272" s="183"/>
      <c r="V272" s="183"/>
      <c r="W272" s="183"/>
      <c r="X272" s="185"/>
      <c r="Y272" s="94"/>
      <c r="Z272" s="172"/>
      <c r="AA272" s="172"/>
      <c r="AB272" s="172"/>
      <c r="AC272" s="172"/>
      <c r="AD272" s="172"/>
      <c r="AE272" s="267"/>
      <c r="AF272" s="172"/>
      <c r="AG272" s="172"/>
      <c r="AH272" s="172"/>
      <c r="AI272" s="172"/>
      <c r="AJ272" s="172"/>
      <c r="AK272" s="172"/>
      <c r="AL272" s="172"/>
    </row>
    <row r="273" spans="1:38" ht="21" customHeight="1" x14ac:dyDescent="0.3">
      <c r="A273" s="172"/>
      <c r="B273" s="184"/>
      <c r="C273" s="94"/>
      <c r="D273" s="94"/>
      <c r="E273" s="185"/>
      <c r="F273" s="186"/>
      <c r="G273" s="185"/>
      <c r="H273" s="94"/>
      <c r="I273" s="184"/>
      <c r="J273" s="94"/>
      <c r="K273" s="94"/>
      <c r="L273" s="94"/>
      <c r="M273" s="94"/>
      <c r="N273" s="94"/>
      <c r="O273" s="94"/>
      <c r="P273" s="94"/>
      <c r="Q273" s="187"/>
      <c r="R273" s="187"/>
      <c r="S273" s="187"/>
      <c r="T273" s="187"/>
      <c r="U273" s="183"/>
      <c r="V273" s="183"/>
      <c r="W273" s="183"/>
      <c r="X273" s="185"/>
      <c r="Y273" s="94"/>
      <c r="Z273" s="172"/>
      <c r="AA273" s="172"/>
      <c r="AB273" s="172"/>
      <c r="AC273" s="172"/>
      <c r="AD273" s="172"/>
      <c r="AE273" s="267"/>
      <c r="AF273" s="172"/>
      <c r="AG273" s="172"/>
      <c r="AH273" s="172"/>
      <c r="AI273" s="172"/>
      <c r="AJ273" s="172"/>
      <c r="AK273" s="172"/>
      <c r="AL273" s="172"/>
    </row>
    <row r="274" spans="1:38" ht="21" customHeight="1" x14ac:dyDescent="0.3">
      <c r="A274" s="172"/>
      <c r="B274" s="184"/>
      <c r="C274" s="94"/>
      <c r="D274" s="94"/>
      <c r="E274" s="185"/>
      <c r="F274" s="186"/>
      <c r="G274" s="185"/>
      <c r="H274" s="94"/>
      <c r="I274" s="184"/>
      <c r="J274" s="94"/>
      <c r="K274" s="94"/>
      <c r="L274" s="94"/>
      <c r="M274" s="94"/>
      <c r="N274" s="94"/>
      <c r="O274" s="94"/>
      <c r="P274" s="94"/>
      <c r="Q274" s="187"/>
      <c r="R274" s="187"/>
      <c r="S274" s="187"/>
      <c r="T274" s="187"/>
      <c r="U274" s="183"/>
      <c r="V274" s="183"/>
      <c r="W274" s="183"/>
      <c r="X274" s="185"/>
      <c r="Y274" s="94"/>
      <c r="Z274" s="172"/>
      <c r="AA274" s="172"/>
      <c r="AB274" s="172"/>
      <c r="AC274" s="172"/>
      <c r="AD274" s="172"/>
      <c r="AE274" s="267"/>
      <c r="AF274" s="172"/>
      <c r="AG274" s="172"/>
      <c r="AH274" s="172"/>
      <c r="AI274" s="172"/>
      <c r="AJ274" s="172"/>
      <c r="AK274" s="172"/>
      <c r="AL274" s="172"/>
    </row>
    <row r="275" spans="1:38" ht="21" customHeight="1" x14ac:dyDescent="0.3">
      <c r="A275" s="172"/>
      <c r="B275" s="184"/>
      <c r="C275" s="94"/>
      <c r="D275" s="94"/>
      <c r="E275" s="185"/>
      <c r="F275" s="186"/>
      <c r="G275" s="185"/>
      <c r="H275" s="94"/>
      <c r="I275" s="184"/>
      <c r="J275" s="94"/>
      <c r="K275" s="94"/>
      <c r="L275" s="94"/>
      <c r="M275" s="94"/>
      <c r="N275" s="94"/>
      <c r="O275" s="94"/>
      <c r="P275" s="94"/>
      <c r="Q275" s="187"/>
      <c r="R275" s="187"/>
      <c r="S275" s="187"/>
      <c r="T275" s="187"/>
      <c r="U275" s="183"/>
      <c r="V275" s="183"/>
      <c r="W275" s="183"/>
      <c r="X275" s="185"/>
      <c r="Y275" s="94"/>
      <c r="Z275" s="172"/>
      <c r="AA275" s="172"/>
      <c r="AB275" s="172"/>
      <c r="AC275" s="172"/>
      <c r="AD275" s="172"/>
      <c r="AE275" s="267"/>
      <c r="AF275" s="172"/>
      <c r="AG275" s="172"/>
      <c r="AH275" s="172"/>
      <c r="AI275" s="172"/>
      <c r="AJ275" s="172"/>
      <c r="AK275" s="172"/>
      <c r="AL275" s="172"/>
    </row>
    <row r="276" spans="1:38" ht="21" customHeight="1" x14ac:dyDescent="0.3">
      <c r="A276" s="172"/>
      <c r="B276" s="184"/>
      <c r="C276" s="94"/>
      <c r="D276" s="94"/>
      <c r="E276" s="185"/>
      <c r="F276" s="186"/>
      <c r="G276" s="185"/>
      <c r="H276" s="94"/>
      <c r="I276" s="184"/>
      <c r="J276" s="94"/>
      <c r="K276" s="94"/>
      <c r="L276" s="94"/>
      <c r="M276" s="94"/>
      <c r="N276" s="94"/>
      <c r="O276" s="94"/>
      <c r="P276" s="94"/>
      <c r="Q276" s="187"/>
      <c r="R276" s="187"/>
      <c r="S276" s="187"/>
      <c r="T276" s="187"/>
      <c r="U276" s="183"/>
      <c r="V276" s="183"/>
      <c r="W276" s="183"/>
      <c r="X276" s="185"/>
      <c r="Y276" s="94"/>
      <c r="Z276" s="172"/>
      <c r="AA276" s="172"/>
      <c r="AB276" s="172"/>
      <c r="AC276" s="172"/>
      <c r="AD276" s="172"/>
      <c r="AE276" s="267"/>
      <c r="AF276" s="172"/>
      <c r="AG276" s="172"/>
      <c r="AH276" s="172"/>
      <c r="AI276" s="172"/>
      <c r="AJ276" s="172"/>
      <c r="AK276" s="172"/>
      <c r="AL276" s="172"/>
    </row>
    <row r="277" spans="1:38" ht="21" customHeight="1" x14ac:dyDescent="0.3">
      <c r="A277" s="172"/>
      <c r="B277" s="184"/>
      <c r="C277" s="94"/>
      <c r="D277" s="94"/>
      <c r="E277" s="185"/>
      <c r="F277" s="186"/>
      <c r="G277" s="185"/>
      <c r="H277" s="94"/>
      <c r="I277" s="184"/>
      <c r="J277" s="94"/>
      <c r="K277" s="94"/>
      <c r="L277" s="94"/>
      <c r="M277" s="94"/>
      <c r="N277" s="94"/>
      <c r="O277" s="94"/>
      <c r="P277" s="94"/>
      <c r="Q277" s="187"/>
      <c r="R277" s="187"/>
      <c r="S277" s="187"/>
      <c r="T277" s="187"/>
      <c r="U277" s="183"/>
      <c r="V277" s="183"/>
      <c r="W277" s="183"/>
      <c r="X277" s="185"/>
      <c r="Y277" s="94"/>
      <c r="Z277" s="172"/>
      <c r="AA277" s="172"/>
      <c r="AB277" s="172"/>
      <c r="AC277" s="172"/>
      <c r="AD277" s="172"/>
      <c r="AE277" s="267"/>
      <c r="AF277" s="172"/>
      <c r="AG277" s="172"/>
      <c r="AH277" s="172"/>
      <c r="AI277" s="172"/>
      <c r="AJ277" s="172"/>
      <c r="AK277" s="172"/>
      <c r="AL277" s="172"/>
    </row>
    <row r="278" spans="1:38" ht="21" customHeight="1" x14ac:dyDescent="0.3">
      <c r="A278" s="172"/>
      <c r="B278" s="184"/>
      <c r="C278" s="94"/>
      <c r="D278" s="94"/>
      <c r="E278" s="185"/>
      <c r="F278" s="186"/>
      <c r="G278" s="185"/>
      <c r="H278" s="94"/>
      <c r="I278" s="184"/>
      <c r="J278" s="94"/>
      <c r="K278" s="94"/>
      <c r="L278" s="94"/>
      <c r="M278" s="94"/>
      <c r="N278" s="94"/>
      <c r="O278" s="94"/>
      <c r="P278" s="94"/>
      <c r="Q278" s="187"/>
      <c r="R278" s="187"/>
      <c r="S278" s="187"/>
      <c r="T278" s="187"/>
      <c r="U278" s="183"/>
      <c r="V278" s="183"/>
      <c r="W278" s="183"/>
      <c r="X278" s="185"/>
      <c r="Y278" s="94"/>
      <c r="Z278" s="172"/>
      <c r="AA278" s="172"/>
      <c r="AB278" s="172"/>
      <c r="AC278" s="172"/>
      <c r="AD278" s="172"/>
      <c r="AE278" s="267"/>
      <c r="AF278" s="172"/>
      <c r="AG278" s="172"/>
      <c r="AH278" s="172"/>
      <c r="AI278" s="172"/>
      <c r="AJ278" s="172"/>
      <c r="AK278" s="172"/>
      <c r="AL278" s="172"/>
    </row>
    <row r="279" spans="1:38" ht="21" customHeight="1" x14ac:dyDescent="0.3">
      <c r="A279" s="172"/>
      <c r="B279" s="184"/>
      <c r="C279" s="94"/>
      <c r="D279" s="94"/>
      <c r="E279" s="185"/>
      <c r="F279" s="186"/>
      <c r="G279" s="185"/>
      <c r="H279" s="94"/>
      <c r="I279" s="184"/>
      <c r="J279" s="94"/>
      <c r="K279" s="94"/>
      <c r="L279" s="94"/>
      <c r="M279" s="94"/>
      <c r="N279" s="94"/>
      <c r="O279" s="94"/>
      <c r="P279" s="94"/>
      <c r="Q279" s="187"/>
      <c r="R279" s="187"/>
      <c r="S279" s="187"/>
      <c r="T279" s="187"/>
      <c r="U279" s="183"/>
      <c r="V279" s="183"/>
      <c r="W279" s="183"/>
      <c r="X279" s="185"/>
      <c r="Y279" s="94"/>
      <c r="Z279" s="172"/>
      <c r="AA279" s="172"/>
      <c r="AB279" s="172"/>
      <c r="AC279" s="172"/>
      <c r="AD279" s="172"/>
      <c r="AE279" s="267"/>
      <c r="AF279" s="172"/>
      <c r="AG279" s="172"/>
      <c r="AH279" s="172"/>
      <c r="AI279" s="172"/>
      <c r="AJ279" s="172"/>
      <c r="AK279" s="172"/>
      <c r="AL279" s="172"/>
    </row>
    <row r="280" spans="1:38" ht="21" customHeight="1" x14ac:dyDescent="0.3">
      <c r="A280" s="172"/>
      <c r="B280" s="184"/>
      <c r="C280" s="94"/>
      <c r="D280" s="94"/>
      <c r="E280" s="185"/>
      <c r="F280" s="186"/>
      <c r="G280" s="185"/>
      <c r="H280" s="94"/>
      <c r="I280" s="184"/>
      <c r="J280" s="94"/>
      <c r="K280" s="94"/>
      <c r="L280" s="94"/>
      <c r="M280" s="94"/>
      <c r="N280" s="94"/>
      <c r="O280" s="94"/>
      <c r="P280" s="94"/>
      <c r="Q280" s="187"/>
      <c r="R280" s="187"/>
      <c r="S280" s="187"/>
      <c r="T280" s="187"/>
      <c r="U280" s="183"/>
      <c r="V280" s="183"/>
      <c r="W280" s="183"/>
      <c r="X280" s="185"/>
      <c r="Y280" s="94"/>
      <c r="Z280" s="172"/>
      <c r="AA280" s="172"/>
      <c r="AB280" s="172"/>
      <c r="AC280" s="172"/>
      <c r="AD280" s="172"/>
      <c r="AE280" s="267"/>
      <c r="AF280" s="172"/>
      <c r="AG280" s="172"/>
      <c r="AH280" s="172"/>
      <c r="AI280" s="172"/>
      <c r="AJ280" s="172"/>
      <c r="AK280" s="172"/>
      <c r="AL280" s="172"/>
    </row>
    <row r="281" spans="1:38" ht="21" customHeight="1" x14ac:dyDescent="0.3">
      <c r="A281" s="172"/>
      <c r="B281" s="184"/>
      <c r="C281" s="94"/>
      <c r="D281" s="94"/>
      <c r="E281" s="185"/>
      <c r="F281" s="186"/>
      <c r="G281" s="185"/>
      <c r="H281" s="94"/>
      <c r="I281" s="184"/>
      <c r="J281" s="94"/>
      <c r="K281" s="94"/>
      <c r="L281" s="94"/>
      <c r="M281" s="94"/>
      <c r="N281" s="94"/>
      <c r="O281" s="94"/>
      <c r="P281" s="94"/>
      <c r="Q281" s="187"/>
      <c r="R281" s="187"/>
      <c r="S281" s="187"/>
      <c r="T281" s="187"/>
      <c r="U281" s="183"/>
      <c r="V281" s="183"/>
      <c r="W281" s="183"/>
      <c r="X281" s="185"/>
      <c r="Y281" s="94"/>
      <c r="Z281" s="172"/>
      <c r="AA281" s="172"/>
      <c r="AB281" s="172"/>
      <c r="AC281" s="172"/>
      <c r="AD281" s="172"/>
      <c r="AE281" s="267"/>
      <c r="AF281" s="172"/>
      <c r="AG281" s="172"/>
      <c r="AH281" s="172"/>
      <c r="AI281" s="172"/>
      <c r="AJ281" s="172"/>
      <c r="AK281" s="172"/>
      <c r="AL281" s="172"/>
    </row>
    <row r="282" spans="1:38" ht="21" customHeight="1" x14ac:dyDescent="0.3">
      <c r="A282" s="172"/>
      <c r="B282" s="184"/>
      <c r="C282" s="94"/>
      <c r="D282" s="94"/>
      <c r="E282" s="185"/>
      <c r="F282" s="186"/>
      <c r="G282" s="185"/>
      <c r="H282" s="94"/>
      <c r="I282" s="184"/>
      <c r="J282" s="94"/>
      <c r="K282" s="94"/>
      <c r="L282" s="94"/>
      <c r="M282" s="94"/>
      <c r="N282" s="94"/>
      <c r="O282" s="94"/>
      <c r="P282" s="94"/>
      <c r="Q282" s="187"/>
      <c r="R282" s="187"/>
      <c r="S282" s="187"/>
      <c r="T282" s="187"/>
      <c r="U282" s="183"/>
      <c r="V282" s="183"/>
      <c r="W282" s="183"/>
      <c r="X282" s="185"/>
      <c r="Y282" s="94"/>
      <c r="Z282" s="172"/>
      <c r="AA282" s="172"/>
      <c r="AB282" s="172"/>
      <c r="AC282" s="172"/>
      <c r="AD282" s="172"/>
      <c r="AE282" s="267"/>
      <c r="AF282" s="172"/>
      <c r="AG282" s="172"/>
      <c r="AH282" s="172"/>
      <c r="AI282" s="172"/>
      <c r="AJ282" s="172"/>
      <c r="AK282" s="172"/>
      <c r="AL282" s="172"/>
    </row>
    <row r="283" spans="1:38" ht="21" customHeight="1" x14ac:dyDescent="0.3">
      <c r="A283" s="172"/>
      <c r="B283" s="184"/>
      <c r="C283" s="94"/>
      <c r="D283" s="94"/>
      <c r="E283" s="185"/>
      <c r="F283" s="186"/>
      <c r="G283" s="185"/>
      <c r="H283" s="94"/>
      <c r="I283" s="184"/>
      <c r="J283" s="94"/>
      <c r="K283" s="94"/>
      <c r="L283" s="94"/>
      <c r="M283" s="94"/>
      <c r="N283" s="94"/>
      <c r="O283" s="94"/>
      <c r="P283" s="94"/>
      <c r="Q283" s="187"/>
      <c r="R283" s="187"/>
      <c r="S283" s="187"/>
      <c r="T283" s="187"/>
      <c r="U283" s="183"/>
      <c r="V283" s="183"/>
      <c r="W283" s="183"/>
      <c r="X283" s="185"/>
      <c r="Y283" s="94"/>
      <c r="Z283" s="172"/>
      <c r="AA283" s="172"/>
      <c r="AB283" s="172"/>
      <c r="AC283" s="172"/>
      <c r="AD283" s="172"/>
      <c r="AE283" s="267"/>
      <c r="AF283" s="172"/>
      <c r="AG283" s="172"/>
      <c r="AH283" s="172"/>
      <c r="AI283" s="172"/>
      <c r="AJ283" s="172"/>
      <c r="AK283" s="172"/>
      <c r="AL283" s="172"/>
    </row>
    <row r="284" spans="1:38" ht="21" customHeight="1" x14ac:dyDescent="0.3">
      <c r="A284" s="172"/>
      <c r="B284" s="184"/>
      <c r="C284" s="94"/>
      <c r="D284" s="94"/>
      <c r="E284" s="185"/>
      <c r="F284" s="186"/>
      <c r="G284" s="185"/>
      <c r="H284" s="94"/>
      <c r="I284" s="184"/>
      <c r="J284" s="94"/>
      <c r="K284" s="94"/>
      <c r="L284" s="94"/>
      <c r="M284" s="94"/>
      <c r="N284" s="94"/>
      <c r="O284" s="94"/>
      <c r="P284" s="94"/>
      <c r="Q284" s="187"/>
      <c r="R284" s="187"/>
      <c r="S284" s="187"/>
      <c r="T284" s="187"/>
      <c r="U284" s="183"/>
      <c r="V284" s="183"/>
      <c r="W284" s="183"/>
      <c r="X284" s="185"/>
      <c r="Y284" s="94"/>
      <c r="Z284" s="172"/>
      <c r="AA284" s="172"/>
      <c r="AB284" s="172"/>
      <c r="AC284" s="172"/>
      <c r="AD284" s="172"/>
      <c r="AE284" s="267"/>
      <c r="AF284" s="172"/>
      <c r="AG284" s="172"/>
      <c r="AH284" s="172"/>
      <c r="AI284" s="172"/>
      <c r="AJ284" s="172"/>
      <c r="AK284" s="172"/>
      <c r="AL284" s="172"/>
    </row>
    <row r="285" spans="1:38" ht="21" customHeight="1" x14ac:dyDescent="0.3">
      <c r="A285" s="172"/>
      <c r="B285" s="184"/>
      <c r="C285" s="94"/>
      <c r="D285" s="94"/>
      <c r="E285" s="185"/>
      <c r="F285" s="186"/>
      <c r="G285" s="185"/>
      <c r="H285" s="94"/>
      <c r="I285" s="184"/>
      <c r="J285" s="94"/>
      <c r="K285" s="94"/>
      <c r="L285" s="94"/>
      <c r="M285" s="94"/>
      <c r="N285" s="94"/>
      <c r="O285" s="94"/>
      <c r="P285" s="94"/>
      <c r="Q285" s="187"/>
      <c r="R285" s="187"/>
      <c r="S285" s="187"/>
      <c r="T285" s="187"/>
      <c r="U285" s="183"/>
      <c r="V285" s="183"/>
      <c r="W285" s="183"/>
      <c r="X285" s="185"/>
      <c r="Y285" s="94"/>
      <c r="Z285" s="172"/>
      <c r="AA285" s="172"/>
      <c r="AB285" s="172"/>
      <c r="AC285" s="172"/>
      <c r="AD285" s="172"/>
      <c r="AE285" s="267"/>
      <c r="AF285" s="172"/>
      <c r="AG285" s="172"/>
      <c r="AH285" s="172"/>
      <c r="AI285" s="172"/>
      <c r="AJ285" s="172"/>
      <c r="AK285" s="172"/>
      <c r="AL285" s="172"/>
    </row>
    <row r="286" spans="1:38" ht="21" customHeight="1" x14ac:dyDescent="0.3">
      <c r="A286" s="172"/>
      <c r="B286" s="184"/>
      <c r="C286" s="94"/>
      <c r="D286" s="94"/>
      <c r="E286" s="185"/>
      <c r="F286" s="186"/>
      <c r="G286" s="185"/>
      <c r="H286" s="94"/>
      <c r="I286" s="184"/>
      <c r="J286" s="94"/>
      <c r="K286" s="94"/>
      <c r="L286" s="94"/>
      <c r="M286" s="94"/>
      <c r="N286" s="94"/>
      <c r="O286" s="94"/>
      <c r="P286" s="94"/>
      <c r="Q286" s="187"/>
      <c r="R286" s="187"/>
      <c r="S286" s="187"/>
      <c r="T286" s="187"/>
      <c r="U286" s="183"/>
      <c r="V286" s="183"/>
      <c r="W286" s="183"/>
      <c r="X286" s="185"/>
      <c r="Y286" s="94"/>
      <c r="Z286" s="172"/>
      <c r="AA286" s="172"/>
      <c r="AB286" s="172"/>
      <c r="AC286" s="172"/>
      <c r="AD286" s="172"/>
      <c r="AE286" s="267"/>
      <c r="AF286" s="172"/>
      <c r="AG286" s="172"/>
      <c r="AH286" s="172"/>
      <c r="AI286" s="172"/>
      <c r="AJ286" s="172"/>
      <c r="AK286" s="172"/>
      <c r="AL286" s="172"/>
    </row>
    <row r="287" spans="1:38" ht="21" customHeight="1" x14ac:dyDescent="0.3">
      <c r="A287" s="172"/>
      <c r="B287" s="184"/>
      <c r="C287" s="94"/>
      <c r="D287" s="94"/>
      <c r="E287" s="185"/>
      <c r="F287" s="186"/>
      <c r="G287" s="185"/>
      <c r="H287" s="94"/>
      <c r="I287" s="184"/>
      <c r="J287" s="94"/>
      <c r="K287" s="94"/>
      <c r="L287" s="94"/>
      <c r="M287" s="94"/>
      <c r="N287" s="94"/>
      <c r="O287" s="94"/>
      <c r="P287" s="94"/>
      <c r="Q287" s="187"/>
      <c r="R287" s="187"/>
      <c r="S287" s="187"/>
      <c r="T287" s="187"/>
      <c r="U287" s="183"/>
      <c r="V287" s="183"/>
      <c r="W287" s="183"/>
      <c r="X287" s="185"/>
      <c r="Y287" s="94"/>
      <c r="Z287" s="172"/>
      <c r="AA287" s="172"/>
      <c r="AB287" s="172"/>
      <c r="AC287" s="172"/>
      <c r="AD287" s="172"/>
      <c r="AE287" s="267"/>
      <c r="AF287" s="172"/>
      <c r="AG287" s="172"/>
      <c r="AH287" s="172"/>
      <c r="AI287" s="172"/>
      <c r="AJ287" s="172"/>
      <c r="AK287" s="172"/>
      <c r="AL287" s="172"/>
    </row>
    <row r="288" spans="1:38" ht="21" customHeight="1" x14ac:dyDescent="0.3">
      <c r="A288" s="172"/>
      <c r="B288" s="184"/>
      <c r="C288" s="94"/>
      <c r="D288" s="94"/>
      <c r="E288" s="185"/>
      <c r="F288" s="186"/>
      <c r="G288" s="185"/>
      <c r="H288" s="94"/>
      <c r="I288" s="184"/>
      <c r="J288" s="94"/>
      <c r="K288" s="94"/>
      <c r="L288" s="94"/>
      <c r="M288" s="94"/>
      <c r="N288" s="94"/>
      <c r="O288" s="94"/>
      <c r="P288" s="94"/>
      <c r="Q288" s="187"/>
      <c r="R288" s="187"/>
      <c r="S288" s="187"/>
      <c r="T288" s="187"/>
      <c r="U288" s="183"/>
      <c r="V288" s="183"/>
      <c r="W288" s="183"/>
      <c r="X288" s="185"/>
      <c r="Y288" s="94"/>
      <c r="Z288" s="172"/>
      <c r="AA288" s="172"/>
      <c r="AB288" s="172"/>
      <c r="AC288" s="172"/>
      <c r="AD288" s="172"/>
      <c r="AE288" s="267"/>
      <c r="AF288" s="172"/>
      <c r="AG288" s="172"/>
      <c r="AH288" s="172"/>
      <c r="AI288" s="172"/>
      <c r="AJ288" s="172"/>
      <c r="AK288" s="172"/>
      <c r="AL288" s="172"/>
    </row>
    <row r="289" spans="1:38" ht="21" customHeight="1" x14ac:dyDescent="0.3">
      <c r="A289" s="172"/>
      <c r="B289" s="184"/>
      <c r="C289" s="94"/>
      <c r="D289" s="94"/>
      <c r="E289" s="185"/>
      <c r="F289" s="186"/>
      <c r="G289" s="185"/>
      <c r="H289" s="94"/>
      <c r="I289" s="184"/>
      <c r="J289" s="94"/>
      <c r="K289" s="94"/>
      <c r="L289" s="94"/>
      <c r="M289" s="94"/>
      <c r="N289" s="94"/>
      <c r="O289" s="94"/>
      <c r="P289" s="94"/>
      <c r="Q289" s="187"/>
      <c r="R289" s="187"/>
      <c r="S289" s="187"/>
      <c r="T289" s="187"/>
      <c r="U289" s="183"/>
      <c r="V289" s="183"/>
      <c r="W289" s="183"/>
      <c r="X289" s="185"/>
      <c r="Y289" s="94"/>
      <c r="Z289" s="172"/>
      <c r="AA289" s="172"/>
      <c r="AB289" s="172"/>
      <c r="AC289" s="172"/>
      <c r="AD289" s="172"/>
      <c r="AE289" s="267"/>
      <c r="AF289" s="172"/>
      <c r="AG289" s="172"/>
      <c r="AH289" s="172"/>
      <c r="AI289" s="172"/>
      <c r="AJ289" s="172"/>
      <c r="AK289" s="172"/>
      <c r="AL289" s="172"/>
    </row>
    <row r="290" spans="1:38" ht="21" customHeight="1" x14ac:dyDescent="0.3">
      <c r="A290" s="172"/>
      <c r="B290" s="184"/>
      <c r="C290" s="94"/>
      <c r="D290" s="94"/>
      <c r="E290" s="185"/>
      <c r="F290" s="186"/>
      <c r="G290" s="185"/>
      <c r="H290" s="94"/>
      <c r="I290" s="184"/>
      <c r="J290" s="94"/>
      <c r="K290" s="94"/>
      <c r="L290" s="94"/>
      <c r="M290" s="94"/>
      <c r="N290" s="94"/>
      <c r="O290" s="94"/>
      <c r="P290" s="94"/>
      <c r="Q290" s="187"/>
      <c r="R290" s="187"/>
      <c r="S290" s="187"/>
      <c r="T290" s="187"/>
      <c r="U290" s="183"/>
      <c r="V290" s="183"/>
      <c r="W290" s="183"/>
      <c r="X290" s="185"/>
      <c r="Y290" s="94"/>
      <c r="Z290" s="172"/>
      <c r="AA290" s="172"/>
      <c r="AB290" s="172"/>
      <c r="AC290" s="172"/>
      <c r="AD290" s="172"/>
      <c r="AE290" s="267"/>
      <c r="AF290" s="172"/>
      <c r="AG290" s="172"/>
      <c r="AH290" s="172"/>
      <c r="AI290" s="172"/>
      <c r="AJ290" s="172"/>
      <c r="AK290" s="172"/>
      <c r="AL290" s="172"/>
    </row>
    <row r="291" spans="1:38" ht="21" customHeight="1" x14ac:dyDescent="0.3">
      <c r="A291" s="172"/>
      <c r="B291" s="184"/>
      <c r="C291" s="94"/>
      <c r="D291" s="94"/>
      <c r="E291" s="185"/>
      <c r="F291" s="186"/>
      <c r="G291" s="185"/>
      <c r="H291" s="94"/>
      <c r="I291" s="184"/>
      <c r="J291" s="94"/>
      <c r="K291" s="94"/>
      <c r="L291" s="94"/>
      <c r="M291" s="94"/>
      <c r="N291" s="94"/>
      <c r="O291" s="94"/>
      <c r="P291" s="94"/>
      <c r="Q291" s="187"/>
      <c r="R291" s="187"/>
      <c r="S291" s="187"/>
      <c r="T291" s="187"/>
      <c r="U291" s="183"/>
      <c r="V291" s="183"/>
      <c r="W291" s="183"/>
      <c r="X291" s="185"/>
      <c r="Y291" s="94"/>
      <c r="Z291" s="172"/>
      <c r="AA291" s="172"/>
      <c r="AB291" s="172"/>
      <c r="AC291" s="172"/>
      <c r="AD291" s="172"/>
      <c r="AE291" s="267"/>
      <c r="AF291" s="172"/>
      <c r="AG291" s="172"/>
      <c r="AH291" s="172"/>
      <c r="AI291" s="172"/>
      <c r="AJ291" s="172"/>
      <c r="AK291" s="172"/>
      <c r="AL291" s="172"/>
    </row>
    <row r="292" spans="1:38" ht="21" customHeight="1" x14ac:dyDescent="0.3">
      <c r="A292" s="172"/>
      <c r="B292" s="184"/>
      <c r="C292" s="94"/>
      <c r="D292" s="94"/>
      <c r="E292" s="185"/>
      <c r="F292" s="186"/>
      <c r="G292" s="185"/>
      <c r="H292" s="94"/>
      <c r="I292" s="184"/>
      <c r="J292" s="94"/>
      <c r="K292" s="94"/>
      <c r="L292" s="94"/>
      <c r="M292" s="94"/>
      <c r="N292" s="94"/>
      <c r="O292" s="94"/>
      <c r="P292" s="94"/>
      <c r="Q292" s="187"/>
      <c r="R292" s="187"/>
      <c r="S292" s="187"/>
      <c r="T292" s="187"/>
      <c r="U292" s="183"/>
      <c r="V292" s="183"/>
      <c r="W292" s="183"/>
      <c r="X292" s="185"/>
      <c r="Y292" s="94"/>
      <c r="Z292" s="172"/>
      <c r="AA292" s="172"/>
      <c r="AB292" s="172"/>
      <c r="AC292" s="172"/>
      <c r="AD292" s="172"/>
      <c r="AE292" s="267"/>
      <c r="AF292" s="172"/>
      <c r="AG292" s="172"/>
      <c r="AH292" s="172"/>
      <c r="AI292" s="172"/>
      <c r="AJ292" s="172"/>
      <c r="AK292" s="172"/>
      <c r="AL292" s="172"/>
    </row>
    <row r="293" spans="1:38" ht="21" customHeight="1" x14ac:dyDescent="0.3">
      <c r="A293" s="172"/>
      <c r="B293" s="184"/>
      <c r="C293" s="94"/>
      <c r="D293" s="94"/>
      <c r="E293" s="185"/>
      <c r="F293" s="186"/>
      <c r="G293" s="185"/>
      <c r="H293" s="94"/>
      <c r="I293" s="184"/>
      <c r="J293" s="94"/>
      <c r="K293" s="94"/>
      <c r="L293" s="94"/>
      <c r="M293" s="94"/>
      <c r="N293" s="94"/>
      <c r="O293" s="94"/>
      <c r="P293" s="94"/>
      <c r="Q293" s="187"/>
      <c r="R293" s="187"/>
      <c r="S293" s="187"/>
      <c r="T293" s="187"/>
      <c r="U293" s="183"/>
      <c r="V293" s="183"/>
      <c r="W293" s="183"/>
      <c r="X293" s="185"/>
      <c r="Y293" s="94"/>
      <c r="Z293" s="172"/>
      <c r="AA293" s="172"/>
      <c r="AB293" s="172"/>
      <c r="AC293" s="172"/>
      <c r="AD293" s="172"/>
      <c r="AE293" s="267"/>
      <c r="AF293" s="172"/>
      <c r="AG293" s="172"/>
      <c r="AH293" s="172"/>
      <c r="AI293" s="172"/>
      <c r="AJ293" s="172"/>
      <c r="AK293" s="172"/>
      <c r="AL293" s="172"/>
    </row>
    <row r="294" spans="1:38" ht="21" customHeight="1" x14ac:dyDescent="0.3">
      <c r="A294" s="172"/>
      <c r="B294" s="184"/>
      <c r="C294" s="94"/>
      <c r="D294" s="94"/>
      <c r="E294" s="185"/>
      <c r="F294" s="186"/>
      <c r="G294" s="185"/>
      <c r="H294" s="94"/>
      <c r="I294" s="184"/>
      <c r="J294" s="94"/>
      <c r="K294" s="94"/>
      <c r="L294" s="94"/>
      <c r="M294" s="94"/>
      <c r="N294" s="94"/>
      <c r="O294" s="94"/>
      <c r="P294" s="94"/>
      <c r="Q294" s="187"/>
      <c r="R294" s="187"/>
      <c r="S294" s="187"/>
      <c r="T294" s="187"/>
      <c r="U294" s="183"/>
      <c r="V294" s="183"/>
      <c r="W294" s="183"/>
      <c r="X294" s="185"/>
      <c r="Y294" s="94"/>
      <c r="Z294" s="172"/>
      <c r="AA294" s="172"/>
      <c r="AB294" s="172"/>
      <c r="AC294" s="172"/>
      <c r="AD294" s="172"/>
      <c r="AE294" s="267"/>
      <c r="AF294" s="172"/>
      <c r="AG294" s="172"/>
      <c r="AH294" s="172"/>
      <c r="AI294" s="172"/>
      <c r="AJ294" s="172"/>
      <c r="AK294" s="172"/>
      <c r="AL294" s="172"/>
    </row>
    <row r="295" spans="1:38" ht="21" customHeight="1" x14ac:dyDescent="0.3">
      <c r="A295" s="172"/>
      <c r="B295" s="184"/>
      <c r="C295" s="94"/>
      <c r="D295" s="94"/>
      <c r="E295" s="185"/>
      <c r="F295" s="186"/>
      <c r="G295" s="185"/>
      <c r="H295" s="94"/>
      <c r="I295" s="184"/>
      <c r="J295" s="94"/>
      <c r="K295" s="94"/>
      <c r="L295" s="94"/>
      <c r="M295" s="94"/>
      <c r="N295" s="94"/>
      <c r="O295" s="94"/>
      <c r="P295" s="94"/>
      <c r="Q295" s="187"/>
      <c r="R295" s="187"/>
      <c r="S295" s="187"/>
      <c r="T295" s="187"/>
      <c r="U295" s="183"/>
      <c r="V295" s="183"/>
      <c r="W295" s="183"/>
      <c r="X295" s="185"/>
      <c r="Y295" s="94"/>
      <c r="Z295" s="172"/>
      <c r="AA295" s="172"/>
      <c r="AB295" s="172"/>
      <c r="AC295" s="172"/>
      <c r="AD295" s="172"/>
      <c r="AE295" s="267"/>
      <c r="AF295" s="172"/>
      <c r="AG295" s="172"/>
      <c r="AH295" s="172"/>
      <c r="AI295" s="172"/>
      <c r="AJ295" s="172"/>
      <c r="AK295" s="172"/>
      <c r="AL295" s="172"/>
    </row>
    <row r="296" spans="1:38" ht="21" customHeight="1" x14ac:dyDescent="0.3">
      <c r="A296" s="172"/>
      <c r="B296" s="184"/>
      <c r="C296" s="94"/>
      <c r="D296" s="94"/>
      <c r="E296" s="185"/>
      <c r="F296" s="186"/>
      <c r="G296" s="185"/>
      <c r="H296" s="94"/>
      <c r="I296" s="184"/>
      <c r="J296" s="94"/>
      <c r="K296" s="94"/>
      <c r="L296" s="94"/>
      <c r="M296" s="94"/>
      <c r="N296" s="94"/>
      <c r="O296" s="94"/>
      <c r="P296" s="94"/>
      <c r="Q296" s="187"/>
      <c r="R296" s="187"/>
      <c r="S296" s="187"/>
      <c r="T296" s="187"/>
      <c r="U296" s="183"/>
      <c r="V296" s="183"/>
      <c r="W296" s="183"/>
      <c r="X296" s="185"/>
      <c r="Y296" s="94"/>
      <c r="Z296" s="172"/>
      <c r="AA296" s="172"/>
      <c r="AB296" s="172"/>
      <c r="AC296" s="172"/>
      <c r="AD296" s="172"/>
      <c r="AE296" s="267"/>
      <c r="AF296" s="172"/>
      <c r="AG296" s="172"/>
      <c r="AH296" s="172"/>
      <c r="AI296" s="172"/>
      <c r="AJ296" s="172"/>
      <c r="AK296" s="172"/>
      <c r="AL296" s="172"/>
    </row>
    <row r="297" spans="1:38" ht="21" customHeight="1" x14ac:dyDescent="0.3">
      <c r="A297" s="172"/>
      <c r="B297" s="184"/>
      <c r="C297" s="94"/>
      <c r="D297" s="94"/>
      <c r="E297" s="185"/>
      <c r="F297" s="186"/>
      <c r="G297" s="185"/>
      <c r="H297" s="94"/>
      <c r="I297" s="184"/>
      <c r="J297" s="94"/>
      <c r="K297" s="94"/>
      <c r="L297" s="94"/>
      <c r="M297" s="94"/>
      <c r="N297" s="94"/>
      <c r="O297" s="94"/>
      <c r="P297" s="94"/>
      <c r="Q297" s="187"/>
      <c r="R297" s="187"/>
      <c r="S297" s="187"/>
      <c r="T297" s="187"/>
      <c r="U297" s="183"/>
      <c r="V297" s="183"/>
      <c r="W297" s="183"/>
      <c r="X297" s="185"/>
      <c r="Y297" s="94"/>
      <c r="Z297" s="172"/>
      <c r="AA297" s="172"/>
      <c r="AB297" s="172"/>
      <c r="AC297" s="172"/>
      <c r="AD297" s="172"/>
      <c r="AE297" s="267"/>
      <c r="AF297" s="172"/>
      <c r="AG297" s="172"/>
      <c r="AH297" s="172"/>
      <c r="AI297" s="172"/>
      <c r="AJ297" s="172"/>
      <c r="AK297" s="172"/>
      <c r="AL297" s="172"/>
    </row>
    <row r="298" spans="1:38" ht="21" customHeight="1" x14ac:dyDescent="0.3">
      <c r="A298" s="172"/>
      <c r="B298" s="184"/>
      <c r="C298" s="94"/>
      <c r="D298" s="94"/>
      <c r="E298" s="185"/>
      <c r="F298" s="186"/>
      <c r="G298" s="185"/>
      <c r="H298" s="94"/>
      <c r="I298" s="184"/>
      <c r="J298" s="94"/>
      <c r="K298" s="94"/>
      <c r="L298" s="94"/>
      <c r="M298" s="94"/>
      <c r="N298" s="94"/>
      <c r="O298" s="94"/>
      <c r="P298" s="94"/>
      <c r="Q298" s="187"/>
      <c r="R298" s="187"/>
      <c r="S298" s="187"/>
      <c r="T298" s="187"/>
      <c r="U298" s="183"/>
      <c r="V298" s="183"/>
      <c r="W298" s="183"/>
      <c r="X298" s="185"/>
      <c r="Y298" s="94"/>
      <c r="Z298" s="172"/>
      <c r="AA298" s="172"/>
      <c r="AB298" s="172"/>
      <c r="AC298" s="172"/>
      <c r="AD298" s="172"/>
      <c r="AE298" s="267"/>
      <c r="AF298" s="172"/>
      <c r="AG298" s="172"/>
      <c r="AH298" s="172"/>
      <c r="AI298" s="172"/>
      <c r="AJ298" s="172"/>
      <c r="AK298" s="172"/>
      <c r="AL298" s="172"/>
    </row>
    <row r="299" spans="1:38" ht="21" customHeight="1" x14ac:dyDescent="0.3">
      <c r="A299" s="172"/>
      <c r="B299" s="184"/>
      <c r="C299" s="94"/>
      <c r="D299" s="94"/>
      <c r="E299" s="185"/>
      <c r="F299" s="186"/>
      <c r="G299" s="185"/>
      <c r="H299" s="94"/>
      <c r="I299" s="184"/>
      <c r="J299" s="94"/>
      <c r="K299" s="94"/>
      <c r="L299" s="94"/>
      <c r="M299" s="94"/>
      <c r="N299" s="94"/>
      <c r="O299" s="94"/>
      <c r="P299" s="94"/>
      <c r="Q299" s="187"/>
      <c r="R299" s="187"/>
      <c r="S299" s="187"/>
      <c r="T299" s="187"/>
      <c r="U299" s="183"/>
      <c r="V299" s="183"/>
      <c r="W299" s="183"/>
      <c r="X299" s="185"/>
      <c r="Y299" s="94"/>
      <c r="Z299" s="172"/>
      <c r="AA299" s="172"/>
      <c r="AB299" s="172"/>
      <c r="AC299" s="172"/>
      <c r="AD299" s="172"/>
      <c r="AE299" s="267"/>
      <c r="AF299" s="172"/>
      <c r="AG299" s="172"/>
      <c r="AH299" s="172"/>
      <c r="AI299" s="172"/>
      <c r="AJ299" s="172"/>
      <c r="AK299" s="172"/>
      <c r="AL299" s="172"/>
    </row>
    <row r="300" spans="1:38" ht="21" customHeight="1" x14ac:dyDescent="0.3">
      <c r="A300" s="172"/>
      <c r="B300" s="184"/>
      <c r="C300" s="94"/>
      <c r="D300" s="94"/>
      <c r="E300" s="185"/>
      <c r="F300" s="186"/>
      <c r="G300" s="185"/>
      <c r="H300" s="94"/>
      <c r="I300" s="184"/>
      <c r="J300" s="94"/>
      <c r="K300" s="94"/>
      <c r="L300" s="94"/>
      <c r="M300" s="94"/>
      <c r="N300" s="94"/>
      <c r="O300" s="94"/>
      <c r="P300" s="94"/>
      <c r="Q300" s="187"/>
      <c r="R300" s="187"/>
      <c r="S300" s="187"/>
      <c r="T300" s="187"/>
      <c r="U300" s="183"/>
      <c r="V300" s="183"/>
      <c r="W300" s="183"/>
      <c r="X300" s="185"/>
      <c r="Y300" s="94"/>
      <c r="Z300" s="172"/>
      <c r="AA300" s="172"/>
      <c r="AB300" s="172"/>
      <c r="AC300" s="172"/>
      <c r="AD300" s="172"/>
      <c r="AE300" s="267"/>
      <c r="AF300" s="172"/>
      <c r="AG300" s="172"/>
      <c r="AH300" s="172"/>
      <c r="AI300" s="172"/>
      <c r="AJ300" s="172"/>
      <c r="AK300" s="172"/>
      <c r="AL300" s="172"/>
    </row>
    <row r="301" spans="1:38" ht="21" customHeight="1" x14ac:dyDescent="0.3">
      <c r="A301" s="172"/>
      <c r="B301" s="184"/>
      <c r="C301" s="94"/>
      <c r="D301" s="94"/>
      <c r="E301" s="185"/>
      <c r="F301" s="186"/>
      <c r="G301" s="185"/>
      <c r="H301" s="94"/>
      <c r="I301" s="184"/>
      <c r="J301" s="94"/>
      <c r="K301" s="94"/>
      <c r="L301" s="94"/>
      <c r="M301" s="94"/>
      <c r="N301" s="94"/>
      <c r="O301" s="94"/>
      <c r="P301" s="94"/>
      <c r="Q301" s="187"/>
      <c r="R301" s="187"/>
      <c r="S301" s="187"/>
      <c r="T301" s="187"/>
      <c r="U301" s="183"/>
      <c r="V301" s="183"/>
      <c r="W301" s="183"/>
      <c r="X301" s="185"/>
      <c r="Y301" s="94"/>
      <c r="Z301" s="172"/>
      <c r="AA301" s="172"/>
      <c r="AB301" s="172"/>
      <c r="AC301" s="172"/>
      <c r="AD301" s="172"/>
      <c r="AE301" s="267"/>
      <c r="AF301" s="172"/>
      <c r="AG301" s="172"/>
      <c r="AH301" s="172"/>
      <c r="AI301" s="172"/>
      <c r="AJ301" s="172"/>
      <c r="AK301" s="172"/>
      <c r="AL301" s="172"/>
    </row>
    <row r="302" spans="1:38" ht="21" customHeight="1" x14ac:dyDescent="0.3">
      <c r="A302" s="172"/>
      <c r="B302" s="184"/>
      <c r="C302" s="94"/>
      <c r="D302" s="94"/>
      <c r="E302" s="185"/>
      <c r="F302" s="186"/>
      <c r="G302" s="185"/>
      <c r="H302" s="94"/>
      <c r="I302" s="184"/>
      <c r="J302" s="94"/>
      <c r="K302" s="94"/>
      <c r="L302" s="94"/>
      <c r="M302" s="94"/>
      <c r="N302" s="94"/>
      <c r="O302" s="94"/>
      <c r="P302" s="94"/>
      <c r="Q302" s="187"/>
      <c r="R302" s="187"/>
      <c r="S302" s="187"/>
      <c r="T302" s="187"/>
      <c r="U302" s="183"/>
      <c r="V302" s="183"/>
      <c r="W302" s="183"/>
      <c r="X302" s="185"/>
      <c r="Y302" s="94"/>
      <c r="Z302" s="172"/>
      <c r="AA302" s="172"/>
      <c r="AB302" s="172"/>
      <c r="AC302" s="172"/>
      <c r="AD302" s="172"/>
      <c r="AE302" s="267"/>
      <c r="AF302" s="172"/>
      <c r="AG302" s="172"/>
      <c r="AH302" s="172"/>
      <c r="AI302" s="172"/>
      <c r="AJ302" s="172"/>
      <c r="AK302" s="172"/>
      <c r="AL302" s="172"/>
    </row>
    <row r="303" spans="1:38" ht="21" customHeight="1" x14ac:dyDescent="0.3">
      <c r="A303" s="172"/>
      <c r="B303" s="184"/>
      <c r="C303" s="94"/>
      <c r="D303" s="94"/>
      <c r="E303" s="185"/>
      <c r="F303" s="186"/>
      <c r="G303" s="185"/>
      <c r="H303" s="94"/>
      <c r="I303" s="184"/>
      <c r="J303" s="94"/>
      <c r="K303" s="94"/>
      <c r="L303" s="94"/>
      <c r="M303" s="94"/>
      <c r="N303" s="94"/>
      <c r="O303" s="94"/>
      <c r="P303" s="94"/>
      <c r="Q303" s="187"/>
      <c r="R303" s="187"/>
      <c r="S303" s="187"/>
      <c r="T303" s="187"/>
      <c r="U303" s="183"/>
      <c r="V303" s="183"/>
      <c r="W303" s="183"/>
      <c r="X303" s="185"/>
      <c r="Y303" s="94"/>
      <c r="Z303" s="172"/>
      <c r="AA303" s="172"/>
      <c r="AB303" s="172"/>
      <c r="AC303" s="172"/>
      <c r="AD303" s="172"/>
      <c r="AE303" s="267"/>
      <c r="AF303" s="172"/>
      <c r="AG303" s="172"/>
      <c r="AH303" s="172"/>
      <c r="AI303" s="172"/>
      <c r="AJ303" s="172"/>
      <c r="AK303" s="172"/>
      <c r="AL303" s="172"/>
    </row>
    <row r="304" spans="1:38" ht="21" customHeight="1" x14ac:dyDescent="0.3">
      <c r="A304" s="172"/>
      <c r="B304" s="184"/>
      <c r="C304" s="94"/>
      <c r="D304" s="94"/>
      <c r="E304" s="185"/>
      <c r="F304" s="186"/>
      <c r="G304" s="185"/>
      <c r="H304" s="94"/>
      <c r="I304" s="184"/>
      <c r="J304" s="94"/>
      <c r="K304" s="94"/>
      <c r="L304" s="94"/>
      <c r="M304" s="94"/>
      <c r="N304" s="94"/>
      <c r="O304" s="94"/>
      <c r="P304" s="94"/>
      <c r="Q304" s="187"/>
      <c r="R304" s="187"/>
      <c r="S304" s="187"/>
      <c r="T304" s="187"/>
      <c r="U304" s="183"/>
      <c r="V304" s="183"/>
      <c r="W304" s="183"/>
      <c r="X304" s="185"/>
      <c r="Y304" s="94"/>
      <c r="Z304" s="172"/>
      <c r="AA304" s="172"/>
      <c r="AB304" s="172"/>
      <c r="AC304" s="172"/>
      <c r="AD304" s="172"/>
      <c r="AE304" s="267"/>
      <c r="AF304" s="172"/>
      <c r="AG304" s="172"/>
      <c r="AH304" s="172"/>
      <c r="AI304" s="172"/>
      <c r="AJ304" s="172"/>
      <c r="AK304" s="172"/>
      <c r="AL304" s="172"/>
    </row>
    <row r="305" spans="1:38" ht="21" customHeight="1" x14ac:dyDescent="0.3">
      <c r="A305" s="172"/>
      <c r="B305" s="184"/>
      <c r="C305" s="94"/>
      <c r="D305" s="94"/>
      <c r="E305" s="185"/>
      <c r="F305" s="186"/>
      <c r="G305" s="185"/>
      <c r="H305" s="94"/>
      <c r="I305" s="184"/>
      <c r="J305" s="94"/>
      <c r="K305" s="94"/>
      <c r="L305" s="94"/>
      <c r="M305" s="94"/>
      <c r="N305" s="94"/>
      <c r="O305" s="94"/>
      <c r="P305" s="94"/>
      <c r="Q305" s="187"/>
      <c r="R305" s="187"/>
      <c r="S305" s="187"/>
      <c r="T305" s="187"/>
      <c r="U305" s="183"/>
      <c r="V305" s="183"/>
      <c r="W305" s="183"/>
      <c r="X305" s="185"/>
      <c r="Y305" s="94"/>
      <c r="Z305" s="172"/>
      <c r="AA305" s="172"/>
      <c r="AB305" s="172"/>
      <c r="AC305" s="172"/>
      <c r="AD305" s="172"/>
      <c r="AE305" s="267"/>
      <c r="AF305" s="172"/>
      <c r="AG305" s="172"/>
      <c r="AH305" s="172"/>
      <c r="AI305" s="172"/>
      <c r="AJ305" s="172"/>
      <c r="AK305" s="172"/>
      <c r="AL305" s="172"/>
    </row>
    <row r="306" spans="1:38" ht="21" customHeight="1" x14ac:dyDescent="0.3">
      <c r="A306" s="172"/>
      <c r="B306" s="184"/>
      <c r="C306" s="94"/>
      <c r="D306" s="94"/>
      <c r="E306" s="185"/>
      <c r="F306" s="186"/>
      <c r="G306" s="185"/>
      <c r="H306" s="94"/>
      <c r="I306" s="184"/>
      <c r="J306" s="94"/>
      <c r="K306" s="94"/>
      <c r="L306" s="94"/>
      <c r="M306" s="94"/>
      <c r="N306" s="94"/>
      <c r="O306" s="94"/>
      <c r="P306" s="94"/>
      <c r="Q306" s="187"/>
      <c r="R306" s="187"/>
      <c r="S306" s="187"/>
      <c r="T306" s="187"/>
      <c r="U306" s="183"/>
      <c r="V306" s="183"/>
      <c r="W306" s="183"/>
      <c r="X306" s="185"/>
      <c r="Y306" s="94"/>
      <c r="Z306" s="172"/>
      <c r="AA306" s="172"/>
      <c r="AB306" s="172"/>
      <c r="AC306" s="172"/>
      <c r="AD306" s="172"/>
      <c r="AE306" s="267"/>
      <c r="AF306" s="172"/>
      <c r="AG306" s="172"/>
      <c r="AH306" s="172"/>
      <c r="AI306" s="172"/>
      <c r="AJ306" s="172"/>
      <c r="AK306" s="172"/>
      <c r="AL306" s="172"/>
    </row>
    <row r="307" spans="1:38" ht="21" customHeight="1" x14ac:dyDescent="0.3">
      <c r="A307" s="172"/>
      <c r="B307" s="184"/>
      <c r="C307" s="94"/>
      <c r="D307" s="94"/>
      <c r="E307" s="185"/>
      <c r="F307" s="186"/>
      <c r="G307" s="185"/>
      <c r="H307" s="94"/>
      <c r="I307" s="184"/>
      <c r="J307" s="94"/>
      <c r="K307" s="94"/>
      <c r="L307" s="94"/>
      <c r="M307" s="94"/>
      <c r="N307" s="94"/>
      <c r="O307" s="94"/>
      <c r="P307" s="94"/>
      <c r="Q307" s="187"/>
      <c r="R307" s="187"/>
      <c r="S307" s="187"/>
      <c r="T307" s="187"/>
      <c r="U307" s="183"/>
      <c r="V307" s="183"/>
      <c r="W307" s="183"/>
      <c r="X307" s="185"/>
      <c r="Y307" s="94"/>
      <c r="Z307" s="172"/>
      <c r="AA307" s="172"/>
      <c r="AB307" s="172"/>
      <c r="AC307" s="172"/>
      <c r="AD307" s="172"/>
      <c r="AE307" s="267"/>
      <c r="AF307" s="172"/>
      <c r="AG307" s="172"/>
      <c r="AH307" s="172"/>
      <c r="AI307" s="172"/>
      <c r="AJ307" s="172"/>
      <c r="AK307" s="172"/>
      <c r="AL307" s="172"/>
    </row>
    <row r="308" spans="1:38" ht="21" customHeight="1" x14ac:dyDescent="0.3">
      <c r="A308" s="172"/>
      <c r="B308" s="184"/>
      <c r="C308" s="94"/>
      <c r="D308" s="94"/>
      <c r="E308" s="185"/>
      <c r="F308" s="186"/>
      <c r="G308" s="185"/>
      <c r="H308" s="94"/>
      <c r="I308" s="184"/>
      <c r="J308" s="94"/>
      <c r="K308" s="94"/>
      <c r="L308" s="94"/>
      <c r="M308" s="94"/>
      <c r="N308" s="94"/>
      <c r="O308" s="94"/>
      <c r="P308" s="94"/>
      <c r="Q308" s="187"/>
      <c r="R308" s="187"/>
      <c r="S308" s="187"/>
      <c r="T308" s="187"/>
      <c r="U308" s="183"/>
      <c r="V308" s="183"/>
      <c r="W308" s="183"/>
      <c r="X308" s="185"/>
      <c r="Y308" s="94"/>
      <c r="Z308" s="172"/>
      <c r="AA308" s="172"/>
      <c r="AB308" s="172"/>
      <c r="AC308" s="172"/>
      <c r="AD308" s="172"/>
      <c r="AE308" s="267"/>
      <c r="AF308" s="172"/>
      <c r="AG308" s="172"/>
      <c r="AH308" s="172"/>
      <c r="AI308" s="172"/>
      <c r="AJ308" s="172"/>
      <c r="AK308" s="172"/>
      <c r="AL308" s="172"/>
    </row>
    <row r="309" spans="1:38" ht="21" customHeight="1" x14ac:dyDescent="0.3">
      <c r="A309" s="172"/>
      <c r="B309" s="184"/>
      <c r="C309" s="94"/>
      <c r="D309" s="94"/>
      <c r="E309" s="185"/>
      <c r="F309" s="186"/>
      <c r="G309" s="185"/>
      <c r="H309" s="94"/>
      <c r="I309" s="184"/>
      <c r="J309" s="94"/>
      <c r="K309" s="94"/>
      <c r="L309" s="94"/>
      <c r="M309" s="94"/>
      <c r="N309" s="94"/>
      <c r="O309" s="94"/>
      <c r="P309" s="94"/>
      <c r="Q309" s="187"/>
      <c r="R309" s="187"/>
      <c r="S309" s="187"/>
      <c r="T309" s="187"/>
      <c r="U309" s="183"/>
      <c r="V309" s="183"/>
      <c r="W309" s="183"/>
      <c r="X309" s="185"/>
      <c r="Y309" s="94"/>
      <c r="Z309" s="172"/>
      <c r="AA309" s="172"/>
      <c r="AB309" s="172"/>
      <c r="AC309" s="172"/>
      <c r="AD309" s="172"/>
      <c r="AE309" s="267"/>
      <c r="AF309" s="172"/>
      <c r="AG309" s="172"/>
      <c r="AH309" s="172"/>
      <c r="AI309" s="172"/>
      <c r="AJ309" s="172"/>
      <c r="AK309" s="172"/>
      <c r="AL309" s="172"/>
    </row>
    <row r="310" spans="1:38" ht="21" customHeight="1" x14ac:dyDescent="0.3">
      <c r="A310" s="172"/>
      <c r="B310" s="184"/>
      <c r="C310" s="94"/>
      <c r="D310" s="94"/>
      <c r="E310" s="185"/>
      <c r="F310" s="186"/>
      <c r="G310" s="185"/>
      <c r="H310" s="94"/>
      <c r="I310" s="184"/>
      <c r="J310" s="94"/>
      <c r="K310" s="94"/>
      <c r="L310" s="94"/>
      <c r="M310" s="94"/>
      <c r="N310" s="94"/>
      <c r="O310" s="94"/>
      <c r="P310" s="94"/>
      <c r="Q310" s="187"/>
      <c r="R310" s="187"/>
      <c r="S310" s="187"/>
      <c r="T310" s="187"/>
      <c r="U310" s="183"/>
      <c r="V310" s="183"/>
      <c r="W310" s="183"/>
      <c r="X310" s="185"/>
      <c r="Y310" s="94"/>
      <c r="Z310" s="172"/>
      <c r="AA310" s="172"/>
      <c r="AB310" s="172"/>
      <c r="AC310" s="172"/>
      <c r="AD310" s="172"/>
      <c r="AE310" s="267"/>
      <c r="AF310" s="172"/>
      <c r="AG310" s="172"/>
      <c r="AH310" s="172"/>
      <c r="AI310" s="172"/>
      <c r="AJ310" s="172"/>
      <c r="AK310" s="172"/>
      <c r="AL310" s="172"/>
    </row>
    <row r="311" spans="1:38" ht="21" customHeight="1" x14ac:dyDescent="0.3">
      <c r="A311" s="172"/>
      <c r="B311" s="184"/>
      <c r="C311" s="94"/>
      <c r="D311" s="94"/>
      <c r="E311" s="185"/>
      <c r="F311" s="186"/>
      <c r="G311" s="185"/>
      <c r="H311" s="94"/>
      <c r="I311" s="184"/>
      <c r="J311" s="94"/>
      <c r="K311" s="94"/>
      <c r="L311" s="94"/>
      <c r="M311" s="94"/>
      <c r="N311" s="94"/>
      <c r="O311" s="94"/>
      <c r="P311" s="94"/>
      <c r="Q311" s="187"/>
      <c r="R311" s="187"/>
      <c r="S311" s="187"/>
      <c r="T311" s="187"/>
      <c r="U311" s="183"/>
      <c r="V311" s="183"/>
      <c r="W311" s="183"/>
      <c r="X311" s="185"/>
      <c r="Y311" s="94"/>
      <c r="Z311" s="172"/>
      <c r="AA311" s="172"/>
      <c r="AB311" s="172"/>
      <c r="AC311" s="172"/>
      <c r="AD311" s="172"/>
      <c r="AE311" s="267"/>
      <c r="AF311" s="172"/>
      <c r="AG311" s="172"/>
      <c r="AH311" s="172"/>
      <c r="AI311" s="172"/>
      <c r="AJ311" s="172"/>
      <c r="AK311" s="172"/>
      <c r="AL311" s="172"/>
    </row>
    <row r="312" spans="1:38" ht="21" customHeight="1" x14ac:dyDescent="0.3">
      <c r="A312" s="172"/>
      <c r="B312" s="184"/>
      <c r="C312" s="94"/>
      <c r="D312" s="94"/>
      <c r="E312" s="185"/>
      <c r="F312" s="186"/>
      <c r="G312" s="185"/>
      <c r="H312" s="94"/>
      <c r="I312" s="184"/>
      <c r="J312" s="94"/>
      <c r="K312" s="94"/>
      <c r="L312" s="94"/>
      <c r="M312" s="94"/>
      <c r="N312" s="94"/>
      <c r="O312" s="94"/>
      <c r="P312" s="94"/>
      <c r="Q312" s="187"/>
      <c r="R312" s="187"/>
      <c r="S312" s="187"/>
      <c r="T312" s="187"/>
      <c r="U312" s="183"/>
      <c r="V312" s="183"/>
      <c r="W312" s="183"/>
      <c r="X312" s="185"/>
      <c r="Y312" s="94"/>
      <c r="Z312" s="172"/>
      <c r="AA312" s="172"/>
      <c r="AB312" s="172"/>
      <c r="AC312" s="172"/>
      <c r="AD312" s="172"/>
      <c r="AE312" s="267"/>
      <c r="AF312" s="172"/>
      <c r="AG312" s="172"/>
      <c r="AH312" s="172"/>
      <c r="AI312" s="172"/>
      <c r="AJ312" s="172"/>
      <c r="AK312" s="172"/>
      <c r="AL312" s="172"/>
    </row>
    <row r="313" spans="1:38" ht="21" customHeight="1" x14ac:dyDescent="0.3">
      <c r="A313" s="172"/>
      <c r="B313" s="184"/>
      <c r="C313" s="94"/>
      <c r="D313" s="94"/>
      <c r="E313" s="185"/>
      <c r="F313" s="186"/>
      <c r="G313" s="185"/>
      <c r="H313" s="94"/>
      <c r="I313" s="184"/>
      <c r="J313" s="94"/>
      <c r="K313" s="94"/>
      <c r="L313" s="94"/>
      <c r="M313" s="94"/>
      <c r="N313" s="94"/>
      <c r="O313" s="94"/>
      <c r="P313" s="94"/>
      <c r="Q313" s="187"/>
      <c r="R313" s="187"/>
      <c r="S313" s="187"/>
      <c r="T313" s="187"/>
      <c r="U313" s="183"/>
      <c r="V313" s="183"/>
      <c r="W313" s="183"/>
      <c r="X313" s="185"/>
      <c r="Y313" s="94"/>
      <c r="Z313" s="172"/>
      <c r="AA313" s="172"/>
      <c r="AB313" s="172"/>
      <c r="AC313" s="172"/>
      <c r="AD313" s="172"/>
      <c r="AE313" s="267"/>
      <c r="AF313" s="172"/>
      <c r="AG313" s="172"/>
      <c r="AH313" s="172"/>
      <c r="AI313" s="172"/>
      <c r="AJ313" s="172"/>
      <c r="AK313" s="172"/>
      <c r="AL313" s="172"/>
    </row>
    <row r="314" spans="1:38" ht="21" customHeight="1" x14ac:dyDescent="0.3">
      <c r="A314" s="172"/>
      <c r="B314" s="184"/>
      <c r="C314" s="94"/>
      <c r="D314" s="94"/>
      <c r="E314" s="185"/>
      <c r="F314" s="186"/>
      <c r="G314" s="185"/>
      <c r="H314" s="94"/>
      <c r="I314" s="184"/>
      <c r="J314" s="94"/>
      <c r="K314" s="94"/>
      <c r="L314" s="94"/>
      <c r="M314" s="94"/>
      <c r="N314" s="94"/>
      <c r="O314" s="94"/>
      <c r="P314" s="94"/>
      <c r="Q314" s="187"/>
      <c r="R314" s="187"/>
      <c r="S314" s="187"/>
      <c r="T314" s="187"/>
      <c r="U314" s="183"/>
      <c r="V314" s="183"/>
      <c r="W314" s="183"/>
      <c r="X314" s="185"/>
      <c r="Y314" s="94"/>
      <c r="Z314" s="172"/>
      <c r="AA314" s="172"/>
      <c r="AB314" s="172"/>
      <c r="AC314" s="172"/>
      <c r="AD314" s="172"/>
      <c r="AE314" s="267"/>
      <c r="AF314" s="172"/>
      <c r="AG314" s="172"/>
      <c r="AH314" s="172"/>
      <c r="AI314" s="172"/>
      <c r="AJ314" s="172"/>
      <c r="AK314" s="172"/>
      <c r="AL314" s="172"/>
    </row>
    <row r="315" spans="1:38" ht="21" customHeight="1" x14ac:dyDescent="0.3">
      <c r="A315" s="172"/>
      <c r="B315" s="184"/>
      <c r="C315" s="94"/>
      <c r="D315" s="94"/>
      <c r="E315" s="185"/>
      <c r="F315" s="186"/>
      <c r="G315" s="185"/>
      <c r="H315" s="94"/>
      <c r="I315" s="184"/>
      <c r="J315" s="94"/>
      <c r="K315" s="94"/>
      <c r="L315" s="94"/>
      <c r="M315" s="94"/>
      <c r="N315" s="94"/>
      <c r="O315" s="94"/>
      <c r="P315" s="94"/>
      <c r="Q315" s="187"/>
      <c r="R315" s="187"/>
      <c r="S315" s="187"/>
      <c r="T315" s="187"/>
      <c r="U315" s="183"/>
      <c r="V315" s="183"/>
      <c r="W315" s="183"/>
      <c r="X315" s="185"/>
      <c r="Y315" s="94"/>
      <c r="Z315" s="172"/>
      <c r="AA315" s="172"/>
      <c r="AB315" s="172"/>
      <c r="AC315" s="172"/>
      <c r="AD315" s="172"/>
      <c r="AE315" s="267"/>
      <c r="AF315" s="172"/>
      <c r="AG315" s="172"/>
      <c r="AH315" s="172"/>
      <c r="AI315" s="172"/>
      <c r="AJ315" s="172"/>
      <c r="AK315" s="172"/>
      <c r="AL315" s="172"/>
    </row>
    <row r="316" spans="1:38" ht="21" customHeight="1" x14ac:dyDescent="0.3">
      <c r="A316" s="172"/>
      <c r="B316" s="184"/>
      <c r="C316" s="94"/>
      <c r="D316" s="94"/>
      <c r="E316" s="185"/>
      <c r="F316" s="186"/>
      <c r="G316" s="185"/>
      <c r="H316" s="94"/>
      <c r="I316" s="184"/>
      <c r="J316" s="94"/>
      <c r="K316" s="94"/>
      <c r="L316" s="94"/>
      <c r="M316" s="94"/>
      <c r="N316" s="94"/>
      <c r="O316" s="94"/>
      <c r="P316" s="94"/>
      <c r="Q316" s="187"/>
      <c r="R316" s="187"/>
      <c r="S316" s="187"/>
      <c r="T316" s="187"/>
      <c r="U316" s="183"/>
      <c r="V316" s="183"/>
      <c r="W316" s="183"/>
      <c r="X316" s="185"/>
      <c r="Y316" s="94"/>
      <c r="Z316" s="172"/>
      <c r="AA316" s="172"/>
      <c r="AB316" s="172"/>
      <c r="AC316" s="172"/>
      <c r="AD316" s="172"/>
      <c r="AE316" s="267"/>
      <c r="AF316" s="172"/>
      <c r="AG316" s="172"/>
      <c r="AH316" s="172"/>
      <c r="AI316" s="172"/>
      <c r="AJ316" s="172"/>
      <c r="AK316" s="172"/>
      <c r="AL316" s="172"/>
    </row>
    <row r="317" spans="1:38" ht="21" customHeight="1" x14ac:dyDescent="0.3">
      <c r="A317" s="172"/>
      <c r="B317" s="184"/>
      <c r="C317" s="94"/>
      <c r="D317" s="94"/>
      <c r="E317" s="185"/>
      <c r="F317" s="186"/>
      <c r="G317" s="185"/>
      <c r="H317" s="94"/>
      <c r="I317" s="184"/>
      <c r="J317" s="94"/>
      <c r="K317" s="94"/>
      <c r="L317" s="94"/>
      <c r="M317" s="94"/>
      <c r="N317" s="94"/>
      <c r="O317" s="94"/>
      <c r="P317" s="94"/>
      <c r="Q317" s="187"/>
      <c r="R317" s="187"/>
      <c r="S317" s="187"/>
      <c r="T317" s="187"/>
      <c r="U317" s="183"/>
      <c r="V317" s="183"/>
      <c r="W317" s="183"/>
      <c r="X317" s="185"/>
      <c r="Y317" s="94"/>
      <c r="Z317" s="172"/>
      <c r="AA317" s="172"/>
      <c r="AB317" s="172"/>
      <c r="AC317" s="172"/>
      <c r="AD317" s="172"/>
      <c r="AE317" s="267"/>
      <c r="AF317" s="172"/>
      <c r="AG317" s="172"/>
      <c r="AH317" s="172"/>
      <c r="AI317" s="172"/>
      <c r="AJ317" s="172"/>
      <c r="AK317" s="172"/>
      <c r="AL317" s="172"/>
    </row>
    <row r="318" spans="1:38" ht="21" customHeight="1" x14ac:dyDescent="0.3">
      <c r="A318" s="172"/>
      <c r="B318" s="184"/>
      <c r="C318" s="94"/>
      <c r="D318" s="94"/>
      <c r="E318" s="185"/>
      <c r="F318" s="186"/>
      <c r="G318" s="185"/>
      <c r="H318" s="94"/>
      <c r="I318" s="184"/>
      <c r="J318" s="94"/>
      <c r="K318" s="94"/>
      <c r="L318" s="94"/>
      <c r="M318" s="94"/>
      <c r="N318" s="94"/>
      <c r="O318" s="94"/>
      <c r="P318" s="94"/>
      <c r="Q318" s="187"/>
      <c r="R318" s="187"/>
      <c r="S318" s="187"/>
      <c r="T318" s="187"/>
      <c r="U318" s="183"/>
      <c r="V318" s="183"/>
      <c r="W318" s="183"/>
      <c r="X318" s="185"/>
      <c r="Y318" s="94"/>
      <c r="Z318" s="172"/>
      <c r="AA318" s="172"/>
      <c r="AB318" s="172"/>
      <c r="AC318" s="172"/>
      <c r="AD318" s="172"/>
      <c r="AE318" s="267"/>
      <c r="AF318" s="172"/>
      <c r="AG318" s="172"/>
      <c r="AH318" s="172"/>
      <c r="AI318" s="172"/>
      <c r="AJ318" s="172"/>
      <c r="AK318" s="172"/>
      <c r="AL318" s="172"/>
    </row>
    <row r="319" spans="1:38" ht="21" customHeight="1" x14ac:dyDescent="0.3">
      <c r="A319" s="172"/>
      <c r="B319" s="184"/>
      <c r="C319" s="94"/>
      <c r="D319" s="94"/>
      <c r="E319" s="185"/>
      <c r="F319" s="186"/>
      <c r="G319" s="185"/>
      <c r="H319" s="94"/>
      <c r="I319" s="184"/>
      <c r="J319" s="94"/>
      <c r="K319" s="94"/>
      <c r="L319" s="94"/>
      <c r="M319" s="94"/>
      <c r="N319" s="94"/>
      <c r="O319" s="94"/>
      <c r="P319" s="94"/>
      <c r="Q319" s="187"/>
      <c r="R319" s="187"/>
      <c r="S319" s="187"/>
      <c r="T319" s="187"/>
      <c r="U319" s="183"/>
      <c r="V319" s="183"/>
      <c r="W319" s="183"/>
      <c r="X319" s="185"/>
      <c r="Y319" s="94"/>
      <c r="Z319" s="172"/>
      <c r="AA319" s="172"/>
      <c r="AB319" s="172"/>
      <c r="AC319" s="172"/>
      <c r="AD319" s="172"/>
      <c r="AE319" s="267"/>
      <c r="AF319" s="172"/>
      <c r="AG319" s="172"/>
      <c r="AH319" s="172"/>
      <c r="AI319" s="172"/>
      <c r="AJ319" s="172"/>
      <c r="AK319" s="172"/>
      <c r="AL319" s="172"/>
    </row>
    <row r="320" spans="1:38" ht="21" customHeight="1" x14ac:dyDescent="0.3">
      <c r="A320" s="172"/>
      <c r="B320" s="184"/>
      <c r="C320" s="94"/>
      <c r="D320" s="94"/>
      <c r="E320" s="185"/>
      <c r="F320" s="186"/>
      <c r="G320" s="185"/>
      <c r="H320" s="94"/>
      <c r="I320" s="184"/>
      <c r="J320" s="94"/>
      <c r="K320" s="94"/>
      <c r="L320" s="94"/>
      <c r="M320" s="94"/>
      <c r="N320" s="94"/>
      <c r="O320" s="94"/>
      <c r="P320" s="94"/>
      <c r="Q320" s="187"/>
      <c r="R320" s="187"/>
      <c r="S320" s="187"/>
      <c r="T320" s="187"/>
      <c r="U320" s="183"/>
      <c r="V320" s="183"/>
      <c r="W320" s="183"/>
      <c r="X320" s="185"/>
      <c r="Y320" s="94"/>
      <c r="Z320" s="172"/>
      <c r="AA320" s="172"/>
      <c r="AB320" s="172"/>
      <c r="AC320" s="172"/>
      <c r="AD320" s="172"/>
      <c r="AE320" s="267"/>
      <c r="AF320" s="172"/>
      <c r="AG320" s="172"/>
      <c r="AH320" s="172"/>
      <c r="AI320" s="172"/>
      <c r="AJ320" s="172"/>
      <c r="AK320" s="172"/>
      <c r="AL320" s="172"/>
    </row>
    <row r="321" spans="1:38" ht="21" customHeight="1" x14ac:dyDescent="0.3">
      <c r="A321" s="172"/>
      <c r="B321" s="184"/>
      <c r="C321" s="94"/>
      <c r="D321" s="94"/>
      <c r="E321" s="185"/>
      <c r="F321" s="186"/>
      <c r="G321" s="185"/>
      <c r="H321" s="94"/>
      <c r="I321" s="184"/>
      <c r="J321" s="94"/>
      <c r="K321" s="94"/>
      <c r="L321" s="94"/>
      <c r="M321" s="94"/>
      <c r="N321" s="94"/>
      <c r="O321" s="94"/>
      <c r="P321" s="94"/>
      <c r="Q321" s="187"/>
      <c r="R321" s="187"/>
      <c r="S321" s="187"/>
      <c r="T321" s="187"/>
      <c r="U321" s="183"/>
      <c r="V321" s="183"/>
      <c r="W321" s="183"/>
      <c r="X321" s="185"/>
      <c r="Y321" s="94"/>
      <c r="Z321" s="172"/>
      <c r="AA321" s="172"/>
      <c r="AB321" s="172"/>
      <c r="AC321" s="172"/>
      <c r="AD321" s="172"/>
      <c r="AE321" s="267"/>
      <c r="AF321" s="172"/>
      <c r="AG321" s="172"/>
      <c r="AH321" s="172"/>
      <c r="AI321" s="172"/>
      <c r="AJ321" s="172"/>
      <c r="AK321" s="172"/>
      <c r="AL321" s="172"/>
    </row>
    <row r="322" spans="1:38" ht="21" customHeight="1" x14ac:dyDescent="0.3">
      <c r="A322" s="172"/>
      <c r="B322" s="184"/>
      <c r="C322" s="94"/>
      <c r="D322" s="94"/>
      <c r="E322" s="185"/>
      <c r="F322" s="186"/>
      <c r="G322" s="185"/>
      <c r="H322" s="94"/>
      <c r="I322" s="184"/>
      <c r="J322" s="94"/>
      <c r="K322" s="94"/>
      <c r="L322" s="94"/>
      <c r="M322" s="94"/>
      <c r="N322" s="94"/>
      <c r="O322" s="94"/>
      <c r="P322" s="94"/>
      <c r="Q322" s="187"/>
      <c r="R322" s="187"/>
      <c r="S322" s="187"/>
      <c r="T322" s="187"/>
      <c r="U322" s="183"/>
      <c r="V322" s="183"/>
      <c r="W322" s="183"/>
      <c r="X322" s="185"/>
      <c r="Y322" s="94"/>
      <c r="Z322" s="172"/>
      <c r="AA322" s="172"/>
      <c r="AB322" s="172"/>
      <c r="AC322" s="172"/>
      <c r="AD322" s="172"/>
      <c r="AE322" s="267"/>
      <c r="AF322" s="172"/>
      <c r="AG322" s="172"/>
      <c r="AH322" s="172"/>
      <c r="AI322" s="172"/>
      <c r="AJ322" s="172"/>
      <c r="AK322" s="172"/>
      <c r="AL322" s="172"/>
    </row>
    <row r="323" spans="1:38" ht="21" customHeight="1" x14ac:dyDescent="0.3">
      <c r="A323" s="172"/>
      <c r="B323" s="184"/>
      <c r="C323" s="94"/>
      <c r="D323" s="94"/>
      <c r="E323" s="185"/>
      <c r="F323" s="186"/>
      <c r="G323" s="185"/>
      <c r="H323" s="94"/>
      <c r="I323" s="184"/>
      <c r="J323" s="94"/>
      <c r="K323" s="94"/>
      <c r="L323" s="94"/>
      <c r="M323" s="94"/>
      <c r="N323" s="94"/>
      <c r="O323" s="94"/>
      <c r="P323" s="94"/>
      <c r="Q323" s="187"/>
      <c r="R323" s="187"/>
      <c r="S323" s="187"/>
      <c r="T323" s="187"/>
      <c r="U323" s="183"/>
      <c r="V323" s="183"/>
      <c r="W323" s="183"/>
      <c r="X323" s="185"/>
      <c r="Y323" s="94"/>
      <c r="Z323" s="172"/>
      <c r="AA323" s="172"/>
      <c r="AB323" s="172"/>
      <c r="AC323" s="172"/>
      <c r="AD323" s="172"/>
      <c r="AE323" s="267"/>
      <c r="AF323" s="172"/>
      <c r="AG323" s="172"/>
      <c r="AH323" s="172"/>
      <c r="AI323" s="172"/>
      <c r="AJ323" s="172"/>
      <c r="AK323" s="172"/>
      <c r="AL323" s="172"/>
    </row>
    <row r="324" spans="1:38" ht="21" customHeight="1" x14ac:dyDescent="0.3">
      <c r="A324" s="172"/>
      <c r="B324" s="184"/>
      <c r="C324" s="94"/>
      <c r="D324" s="94"/>
      <c r="E324" s="185"/>
      <c r="F324" s="186"/>
      <c r="G324" s="185"/>
      <c r="H324" s="94"/>
      <c r="I324" s="184"/>
      <c r="J324" s="94"/>
      <c r="K324" s="94"/>
      <c r="L324" s="94"/>
      <c r="M324" s="94"/>
      <c r="N324" s="94"/>
      <c r="O324" s="94"/>
      <c r="P324" s="94"/>
      <c r="Q324" s="187"/>
      <c r="R324" s="187"/>
      <c r="S324" s="187"/>
      <c r="T324" s="187"/>
      <c r="U324" s="183"/>
      <c r="V324" s="183"/>
      <c r="W324" s="183"/>
      <c r="X324" s="185"/>
      <c r="Y324" s="94"/>
      <c r="Z324" s="172"/>
      <c r="AA324" s="172"/>
      <c r="AB324" s="172"/>
      <c r="AC324" s="172"/>
      <c r="AD324" s="172"/>
      <c r="AE324" s="267"/>
      <c r="AF324" s="172"/>
      <c r="AG324" s="172"/>
      <c r="AH324" s="172"/>
      <c r="AI324" s="172"/>
      <c r="AJ324" s="172"/>
      <c r="AK324" s="172"/>
      <c r="AL324" s="172"/>
    </row>
    <row r="325" spans="1:38" ht="21" customHeight="1" x14ac:dyDescent="0.3">
      <c r="A325" s="172"/>
      <c r="B325" s="184"/>
      <c r="C325" s="94"/>
      <c r="D325" s="94"/>
      <c r="E325" s="185"/>
      <c r="F325" s="186"/>
      <c r="G325" s="185"/>
      <c r="H325" s="94"/>
      <c r="I325" s="184"/>
      <c r="J325" s="94"/>
      <c r="K325" s="94"/>
      <c r="L325" s="94"/>
      <c r="M325" s="94"/>
      <c r="N325" s="94"/>
      <c r="O325" s="94"/>
      <c r="P325" s="94"/>
      <c r="Q325" s="187"/>
      <c r="R325" s="187"/>
      <c r="S325" s="187"/>
      <c r="T325" s="187"/>
      <c r="U325" s="183"/>
      <c r="V325" s="183"/>
      <c r="W325" s="183"/>
      <c r="X325" s="185"/>
      <c r="Y325" s="94"/>
      <c r="Z325" s="172"/>
      <c r="AA325" s="172"/>
      <c r="AB325" s="172"/>
      <c r="AC325" s="172"/>
      <c r="AD325" s="172"/>
      <c r="AE325" s="267"/>
      <c r="AF325" s="172"/>
      <c r="AG325" s="172"/>
      <c r="AH325" s="172"/>
      <c r="AI325" s="172"/>
      <c r="AJ325" s="172"/>
      <c r="AK325" s="172"/>
      <c r="AL325" s="172"/>
    </row>
    <row r="326" spans="1:38" ht="21" customHeight="1" x14ac:dyDescent="0.3">
      <c r="A326" s="172"/>
      <c r="B326" s="184"/>
      <c r="C326" s="94"/>
      <c r="D326" s="94"/>
      <c r="E326" s="185"/>
      <c r="F326" s="186"/>
      <c r="G326" s="185"/>
      <c r="H326" s="94"/>
      <c r="I326" s="184"/>
      <c r="J326" s="94"/>
      <c r="K326" s="94"/>
      <c r="L326" s="94"/>
      <c r="M326" s="94"/>
      <c r="N326" s="94"/>
      <c r="O326" s="94"/>
      <c r="P326" s="94"/>
      <c r="Q326" s="187"/>
      <c r="R326" s="187"/>
      <c r="S326" s="187"/>
      <c r="T326" s="187"/>
      <c r="U326" s="183"/>
      <c r="V326" s="183"/>
      <c r="W326" s="183"/>
      <c r="X326" s="185"/>
      <c r="Y326" s="94"/>
      <c r="Z326" s="172"/>
      <c r="AA326" s="172"/>
      <c r="AB326" s="172"/>
      <c r="AC326" s="172"/>
      <c r="AD326" s="172"/>
      <c r="AE326" s="267"/>
      <c r="AF326" s="172"/>
      <c r="AG326" s="172"/>
      <c r="AH326" s="172"/>
      <c r="AI326" s="172"/>
      <c r="AJ326" s="172"/>
      <c r="AK326" s="172"/>
      <c r="AL326" s="172"/>
    </row>
    <row r="327" spans="1:38" ht="21" customHeight="1" x14ac:dyDescent="0.3">
      <c r="A327" s="172"/>
      <c r="B327" s="184"/>
      <c r="C327" s="94"/>
      <c r="D327" s="94"/>
      <c r="E327" s="185"/>
      <c r="F327" s="186"/>
      <c r="G327" s="185"/>
      <c r="H327" s="94"/>
      <c r="I327" s="184"/>
      <c r="J327" s="94"/>
      <c r="K327" s="94"/>
      <c r="L327" s="94"/>
      <c r="M327" s="94"/>
      <c r="N327" s="94"/>
      <c r="O327" s="94"/>
      <c r="P327" s="94"/>
      <c r="Q327" s="187"/>
      <c r="R327" s="187"/>
      <c r="S327" s="187"/>
      <c r="T327" s="187"/>
      <c r="U327" s="183"/>
      <c r="V327" s="183"/>
      <c r="W327" s="183"/>
      <c r="X327" s="185"/>
      <c r="Y327" s="94"/>
      <c r="Z327" s="172"/>
      <c r="AA327" s="172"/>
      <c r="AB327" s="172"/>
      <c r="AC327" s="172"/>
      <c r="AD327" s="172"/>
      <c r="AE327" s="267"/>
      <c r="AF327" s="172"/>
      <c r="AG327" s="172"/>
      <c r="AH327" s="172"/>
      <c r="AI327" s="172"/>
      <c r="AJ327" s="172"/>
      <c r="AK327" s="172"/>
      <c r="AL327" s="172"/>
    </row>
    <row r="328" spans="1:38" ht="21" customHeight="1" x14ac:dyDescent="0.3">
      <c r="A328" s="172"/>
      <c r="B328" s="184"/>
      <c r="C328" s="94"/>
      <c r="D328" s="94"/>
      <c r="E328" s="185"/>
      <c r="F328" s="186"/>
      <c r="G328" s="185"/>
      <c r="H328" s="94"/>
      <c r="I328" s="184"/>
      <c r="J328" s="94"/>
      <c r="K328" s="94"/>
      <c r="L328" s="94"/>
      <c r="M328" s="94"/>
      <c r="N328" s="94"/>
      <c r="O328" s="94"/>
      <c r="P328" s="94"/>
      <c r="Q328" s="187"/>
      <c r="R328" s="187"/>
      <c r="S328" s="187"/>
      <c r="T328" s="187"/>
      <c r="U328" s="183"/>
      <c r="V328" s="183"/>
      <c r="W328" s="183"/>
      <c r="X328" s="185"/>
      <c r="Y328" s="94"/>
      <c r="Z328" s="172"/>
      <c r="AA328" s="172"/>
      <c r="AB328" s="172"/>
      <c r="AC328" s="172"/>
      <c r="AD328" s="172"/>
      <c r="AE328" s="267"/>
      <c r="AF328" s="172"/>
      <c r="AG328" s="172"/>
      <c r="AH328" s="172"/>
      <c r="AI328" s="172"/>
      <c r="AJ328" s="172"/>
      <c r="AK328" s="172"/>
      <c r="AL328" s="172"/>
    </row>
    <row r="329" spans="1:38" ht="21" customHeight="1" x14ac:dyDescent="0.3">
      <c r="A329" s="172"/>
      <c r="B329" s="184"/>
      <c r="C329" s="94"/>
      <c r="D329" s="94"/>
      <c r="E329" s="185"/>
      <c r="F329" s="186"/>
      <c r="G329" s="185"/>
      <c r="H329" s="94"/>
      <c r="I329" s="184"/>
      <c r="J329" s="94"/>
      <c r="K329" s="94"/>
      <c r="L329" s="94"/>
      <c r="M329" s="94"/>
      <c r="N329" s="94"/>
      <c r="O329" s="94"/>
      <c r="P329" s="94"/>
      <c r="Q329" s="187"/>
      <c r="R329" s="187"/>
      <c r="S329" s="187"/>
      <c r="T329" s="187"/>
      <c r="U329" s="183"/>
      <c r="V329" s="183"/>
      <c r="W329" s="183"/>
      <c r="X329" s="185"/>
      <c r="Y329" s="94"/>
      <c r="Z329" s="172"/>
      <c r="AA329" s="172"/>
      <c r="AB329" s="172"/>
      <c r="AC329" s="172"/>
      <c r="AD329" s="172"/>
      <c r="AE329" s="267"/>
      <c r="AF329" s="172"/>
      <c r="AG329" s="172"/>
      <c r="AH329" s="172"/>
      <c r="AI329" s="172"/>
      <c r="AJ329" s="172"/>
      <c r="AK329" s="172"/>
      <c r="AL329" s="172"/>
    </row>
    <row r="330" spans="1:38" ht="21" customHeight="1" x14ac:dyDescent="0.3">
      <c r="A330" s="172"/>
      <c r="B330" s="184"/>
      <c r="C330" s="94"/>
      <c r="D330" s="94"/>
      <c r="E330" s="185"/>
      <c r="F330" s="186"/>
      <c r="G330" s="185"/>
      <c r="H330" s="94"/>
      <c r="I330" s="184"/>
      <c r="J330" s="94"/>
      <c r="K330" s="94"/>
      <c r="L330" s="94"/>
      <c r="M330" s="94"/>
      <c r="N330" s="94"/>
      <c r="O330" s="94"/>
      <c r="P330" s="94"/>
      <c r="Q330" s="187"/>
      <c r="R330" s="187"/>
      <c r="S330" s="187"/>
      <c r="T330" s="187"/>
      <c r="U330" s="183"/>
      <c r="V330" s="183"/>
      <c r="W330" s="183"/>
      <c r="X330" s="185"/>
      <c r="Y330" s="94"/>
      <c r="Z330" s="172"/>
      <c r="AA330" s="172"/>
      <c r="AB330" s="172"/>
      <c r="AC330" s="172"/>
      <c r="AD330" s="172"/>
      <c r="AE330" s="267"/>
      <c r="AF330" s="172"/>
      <c r="AG330" s="172"/>
      <c r="AH330" s="172"/>
      <c r="AI330" s="172"/>
      <c r="AJ330" s="172"/>
      <c r="AK330" s="172"/>
      <c r="AL330" s="172"/>
    </row>
    <row r="331" spans="1:38" ht="21" customHeight="1" x14ac:dyDescent="0.3">
      <c r="A331" s="172"/>
      <c r="B331" s="184"/>
      <c r="C331" s="94"/>
      <c r="D331" s="94"/>
      <c r="E331" s="185"/>
      <c r="F331" s="186"/>
      <c r="G331" s="185"/>
      <c r="H331" s="94"/>
      <c r="I331" s="184"/>
      <c r="J331" s="94"/>
      <c r="K331" s="94"/>
      <c r="L331" s="94"/>
      <c r="M331" s="94"/>
      <c r="N331" s="94"/>
      <c r="O331" s="94"/>
      <c r="P331" s="94"/>
      <c r="Q331" s="187"/>
      <c r="R331" s="187"/>
      <c r="S331" s="187"/>
      <c r="T331" s="187"/>
      <c r="U331" s="183"/>
      <c r="V331" s="183"/>
      <c r="W331" s="183"/>
      <c r="X331" s="185"/>
      <c r="Y331" s="94"/>
      <c r="Z331" s="172"/>
      <c r="AA331" s="172"/>
      <c r="AB331" s="172"/>
      <c r="AC331" s="172"/>
      <c r="AD331" s="172"/>
      <c r="AE331" s="267"/>
      <c r="AF331" s="172"/>
      <c r="AG331" s="172"/>
      <c r="AH331" s="172"/>
      <c r="AI331" s="172"/>
      <c r="AJ331" s="172"/>
      <c r="AK331" s="172"/>
      <c r="AL331" s="172"/>
    </row>
    <row r="332" spans="1:38" ht="21" customHeight="1" x14ac:dyDescent="0.3">
      <c r="A332" s="172"/>
      <c r="B332" s="184"/>
      <c r="C332" s="94"/>
      <c r="D332" s="94"/>
      <c r="E332" s="185"/>
      <c r="F332" s="186"/>
      <c r="G332" s="185"/>
      <c r="H332" s="94"/>
      <c r="I332" s="184"/>
      <c r="J332" s="94"/>
      <c r="K332" s="94"/>
      <c r="L332" s="94"/>
      <c r="M332" s="94"/>
      <c r="N332" s="94"/>
      <c r="O332" s="94"/>
      <c r="P332" s="94"/>
      <c r="Q332" s="187"/>
      <c r="R332" s="187"/>
      <c r="S332" s="187"/>
      <c r="T332" s="187"/>
      <c r="U332" s="183"/>
      <c r="V332" s="183"/>
      <c r="W332" s="183"/>
      <c r="X332" s="185"/>
      <c r="Y332" s="94"/>
      <c r="Z332" s="172"/>
      <c r="AA332" s="172"/>
      <c r="AB332" s="172"/>
      <c r="AC332" s="172"/>
      <c r="AD332" s="172"/>
      <c r="AE332" s="267"/>
      <c r="AF332" s="172"/>
      <c r="AG332" s="172"/>
      <c r="AH332" s="172"/>
      <c r="AI332" s="172"/>
      <c r="AJ332" s="172"/>
      <c r="AK332" s="172"/>
      <c r="AL332" s="172"/>
    </row>
    <row r="333" spans="1:38" ht="21" customHeight="1" x14ac:dyDescent="0.3">
      <c r="A333" s="172"/>
      <c r="B333" s="184"/>
      <c r="C333" s="94"/>
      <c r="D333" s="94"/>
      <c r="E333" s="185"/>
      <c r="F333" s="186"/>
      <c r="G333" s="185"/>
      <c r="H333" s="94"/>
      <c r="I333" s="184"/>
      <c r="J333" s="94"/>
      <c r="K333" s="94"/>
      <c r="L333" s="94"/>
      <c r="M333" s="94"/>
      <c r="N333" s="94"/>
      <c r="O333" s="94"/>
      <c r="P333" s="94"/>
      <c r="Q333" s="187"/>
      <c r="R333" s="187"/>
      <c r="S333" s="187"/>
      <c r="T333" s="187"/>
      <c r="U333" s="183"/>
      <c r="V333" s="183"/>
      <c r="W333" s="183"/>
      <c r="X333" s="185"/>
      <c r="Y333" s="94"/>
      <c r="Z333" s="172"/>
      <c r="AA333" s="172"/>
      <c r="AB333" s="172"/>
      <c r="AC333" s="172"/>
      <c r="AD333" s="172"/>
      <c r="AE333" s="267"/>
      <c r="AF333" s="172"/>
      <c r="AG333" s="172"/>
      <c r="AH333" s="172"/>
      <c r="AI333" s="172"/>
      <c r="AJ333" s="172"/>
      <c r="AK333" s="172"/>
      <c r="AL333" s="172"/>
    </row>
    <row r="334" spans="1:38" ht="21" customHeight="1" x14ac:dyDescent="0.3">
      <c r="A334" s="172"/>
      <c r="B334" s="184"/>
      <c r="C334" s="94"/>
      <c r="D334" s="94"/>
      <c r="E334" s="185"/>
      <c r="F334" s="186"/>
      <c r="G334" s="185"/>
      <c r="H334" s="94"/>
      <c r="I334" s="184"/>
      <c r="J334" s="94"/>
      <c r="K334" s="94"/>
      <c r="L334" s="94"/>
      <c r="M334" s="94"/>
      <c r="N334" s="94"/>
      <c r="O334" s="94"/>
      <c r="P334" s="94"/>
      <c r="Q334" s="187"/>
      <c r="R334" s="187"/>
      <c r="S334" s="187"/>
      <c r="T334" s="187"/>
      <c r="U334" s="183"/>
      <c r="V334" s="183"/>
      <c r="W334" s="183"/>
      <c r="X334" s="185"/>
      <c r="Y334" s="94"/>
      <c r="Z334" s="172"/>
      <c r="AA334" s="172"/>
      <c r="AB334" s="172"/>
      <c r="AC334" s="172"/>
      <c r="AD334" s="172"/>
      <c r="AE334" s="267"/>
      <c r="AF334" s="172"/>
      <c r="AG334" s="172"/>
      <c r="AH334" s="172"/>
      <c r="AI334" s="172"/>
      <c r="AJ334" s="172"/>
      <c r="AK334" s="172"/>
      <c r="AL334" s="172"/>
    </row>
    <row r="335" spans="1:38" ht="21" customHeight="1" x14ac:dyDescent="0.3">
      <c r="A335" s="172"/>
      <c r="B335" s="184"/>
      <c r="C335" s="94"/>
      <c r="D335" s="94"/>
      <c r="E335" s="185"/>
      <c r="F335" s="186"/>
      <c r="G335" s="185"/>
      <c r="H335" s="94"/>
      <c r="I335" s="184"/>
      <c r="J335" s="94"/>
      <c r="K335" s="94"/>
      <c r="L335" s="94"/>
      <c r="M335" s="94"/>
      <c r="N335" s="94"/>
      <c r="O335" s="94"/>
      <c r="P335" s="94"/>
      <c r="Q335" s="187"/>
      <c r="R335" s="187"/>
      <c r="S335" s="187"/>
      <c r="T335" s="187"/>
      <c r="U335" s="183"/>
      <c r="V335" s="183"/>
      <c r="W335" s="183"/>
      <c r="X335" s="185"/>
      <c r="Y335" s="94"/>
      <c r="Z335" s="172"/>
      <c r="AA335" s="172"/>
      <c r="AB335" s="172"/>
      <c r="AC335" s="172"/>
      <c r="AD335" s="172"/>
      <c r="AE335" s="267"/>
      <c r="AF335" s="172"/>
      <c r="AG335" s="172"/>
      <c r="AH335" s="172"/>
      <c r="AI335" s="172"/>
      <c r="AJ335" s="172"/>
      <c r="AK335" s="172"/>
      <c r="AL335" s="172"/>
    </row>
    <row r="336" spans="1:38" ht="21" customHeight="1" x14ac:dyDescent="0.3">
      <c r="A336" s="172"/>
      <c r="B336" s="184"/>
      <c r="C336" s="94"/>
      <c r="D336" s="94"/>
      <c r="E336" s="185"/>
      <c r="F336" s="186"/>
      <c r="G336" s="185"/>
      <c r="H336" s="94"/>
      <c r="I336" s="184"/>
      <c r="J336" s="94"/>
      <c r="K336" s="94"/>
      <c r="L336" s="94"/>
      <c r="M336" s="94"/>
      <c r="N336" s="94"/>
      <c r="O336" s="94"/>
      <c r="P336" s="94"/>
      <c r="Q336" s="187"/>
      <c r="R336" s="187"/>
      <c r="S336" s="187"/>
      <c r="T336" s="187"/>
      <c r="U336" s="183"/>
      <c r="V336" s="183"/>
      <c r="W336" s="183"/>
      <c r="X336" s="185"/>
      <c r="Y336" s="94"/>
      <c r="Z336" s="172"/>
      <c r="AA336" s="172"/>
      <c r="AB336" s="172"/>
      <c r="AC336" s="172"/>
      <c r="AD336" s="172"/>
      <c r="AE336" s="267"/>
      <c r="AF336" s="172"/>
      <c r="AG336" s="172"/>
      <c r="AH336" s="172"/>
      <c r="AI336" s="172"/>
      <c r="AJ336" s="172"/>
      <c r="AK336" s="172"/>
      <c r="AL336" s="172"/>
    </row>
    <row r="337" spans="1:38" ht="21" customHeight="1" x14ac:dyDescent="0.3">
      <c r="A337" s="172"/>
      <c r="B337" s="184"/>
      <c r="C337" s="94"/>
      <c r="D337" s="94"/>
      <c r="E337" s="185"/>
      <c r="F337" s="186"/>
      <c r="G337" s="185"/>
      <c r="H337" s="94"/>
      <c r="I337" s="184"/>
      <c r="J337" s="94"/>
      <c r="K337" s="94"/>
      <c r="L337" s="94"/>
      <c r="M337" s="94"/>
      <c r="N337" s="94"/>
      <c r="O337" s="94"/>
      <c r="P337" s="94"/>
      <c r="Q337" s="187"/>
      <c r="R337" s="187"/>
      <c r="S337" s="187"/>
      <c r="T337" s="187"/>
      <c r="U337" s="183"/>
      <c r="V337" s="183"/>
      <c r="W337" s="183"/>
      <c r="X337" s="185"/>
      <c r="Y337" s="94"/>
      <c r="Z337" s="172"/>
      <c r="AA337" s="172"/>
      <c r="AB337" s="172"/>
      <c r="AC337" s="172"/>
      <c r="AD337" s="172"/>
      <c r="AE337" s="267"/>
      <c r="AF337" s="172"/>
      <c r="AG337" s="172"/>
      <c r="AH337" s="172"/>
      <c r="AI337" s="172"/>
      <c r="AJ337" s="172"/>
      <c r="AK337" s="172"/>
      <c r="AL337" s="172"/>
    </row>
    <row r="338" spans="1:38" ht="21" customHeight="1" x14ac:dyDescent="0.3">
      <c r="A338" s="172"/>
      <c r="B338" s="184"/>
      <c r="C338" s="94"/>
      <c r="D338" s="94"/>
      <c r="E338" s="185"/>
      <c r="F338" s="186"/>
      <c r="G338" s="185"/>
      <c r="H338" s="94"/>
      <c r="I338" s="184"/>
      <c r="J338" s="94"/>
      <c r="K338" s="94"/>
      <c r="L338" s="94"/>
      <c r="M338" s="94"/>
      <c r="N338" s="94"/>
      <c r="O338" s="94"/>
      <c r="P338" s="94"/>
      <c r="Q338" s="187"/>
      <c r="R338" s="187"/>
      <c r="S338" s="187"/>
      <c r="T338" s="187"/>
      <c r="U338" s="183"/>
      <c r="V338" s="183"/>
      <c r="W338" s="183"/>
      <c r="X338" s="185"/>
      <c r="Y338" s="94"/>
      <c r="Z338" s="172"/>
      <c r="AA338" s="172"/>
      <c r="AB338" s="172"/>
      <c r="AC338" s="172"/>
      <c r="AD338" s="172"/>
      <c r="AE338" s="267"/>
      <c r="AF338" s="172"/>
      <c r="AG338" s="172"/>
      <c r="AH338" s="172"/>
      <c r="AI338" s="172"/>
      <c r="AJ338" s="172"/>
      <c r="AK338" s="172"/>
      <c r="AL338" s="172"/>
    </row>
    <row r="339" spans="1:38" ht="21" customHeight="1" x14ac:dyDescent="0.3">
      <c r="A339" s="172"/>
      <c r="B339" s="184"/>
      <c r="C339" s="94"/>
      <c r="D339" s="94"/>
      <c r="E339" s="185"/>
      <c r="F339" s="186"/>
      <c r="G339" s="185"/>
      <c r="H339" s="94"/>
      <c r="I339" s="184"/>
      <c r="J339" s="94"/>
      <c r="K339" s="94"/>
      <c r="L339" s="94"/>
      <c r="M339" s="94"/>
      <c r="N339" s="94"/>
      <c r="O339" s="94"/>
      <c r="P339" s="94"/>
      <c r="Q339" s="187"/>
      <c r="R339" s="187"/>
      <c r="S339" s="187"/>
      <c r="T339" s="187"/>
      <c r="U339" s="183"/>
      <c r="V339" s="183"/>
      <c r="W339" s="183"/>
      <c r="X339" s="185"/>
      <c r="Y339" s="94"/>
      <c r="Z339" s="172"/>
      <c r="AA339" s="172"/>
      <c r="AB339" s="172"/>
      <c r="AC339" s="172"/>
      <c r="AD339" s="172"/>
      <c r="AE339" s="267"/>
      <c r="AF339" s="172"/>
      <c r="AG339" s="172"/>
      <c r="AH339" s="172"/>
      <c r="AI339" s="172"/>
      <c r="AJ339" s="172"/>
      <c r="AK339" s="172"/>
      <c r="AL339" s="172"/>
    </row>
    <row r="340" spans="1:38" ht="21" customHeight="1" x14ac:dyDescent="0.3">
      <c r="A340" s="172"/>
      <c r="B340" s="184"/>
      <c r="C340" s="94"/>
      <c r="D340" s="94"/>
      <c r="E340" s="185"/>
      <c r="F340" s="186"/>
      <c r="G340" s="185"/>
      <c r="H340" s="94"/>
      <c r="I340" s="184"/>
      <c r="J340" s="94"/>
      <c r="K340" s="94"/>
      <c r="L340" s="94"/>
      <c r="M340" s="94"/>
      <c r="N340" s="94"/>
      <c r="O340" s="94"/>
      <c r="P340" s="94"/>
      <c r="Q340" s="187"/>
      <c r="R340" s="187"/>
      <c r="S340" s="187"/>
      <c r="T340" s="187"/>
      <c r="U340" s="183"/>
      <c r="V340" s="183"/>
      <c r="W340" s="183"/>
      <c r="X340" s="185"/>
      <c r="Y340" s="94"/>
      <c r="Z340" s="172"/>
      <c r="AA340" s="172"/>
      <c r="AB340" s="172"/>
      <c r="AC340" s="172"/>
      <c r="AD340" s="172"/>
      <c r="AE340" s="267"/>
      <c r="AF340" s="172"/>
      <c r="AG340" s="172"/>
      <c r="AH340" s="172"/>
      <c r="AI340" s="172"/>
      <c r="AJ340" s="172"/>
      <c r="AK340" s="172"/>
      <c r="AL340" s="172"/>
    </row>
    <row r="341" spans="1:38" ht="21" customHeight="1" x14ac:dyDescent="0.3">
      <c r="A341" s="172"/>
      <c r="B341" s="184"/>
      <c r="C341" s="94"/>
      <c r="D341" s="94"/>
      <c r="E341" s="185"/>
      <c r="F341" s="186"/>
      <c r="G341" s="185"/>
      <c r="H341" s="94"/>
      <c r="I341" s="184"/>
      <c r="J341" s="94"/>
      <c r="K341" s="94"/>
      <c r="L341" s="94"/>
      <c r="M341" s="94"/>
      <c r="N341" s="94"/>
      <c r="O341" s="94"/>
      <c r="P341" s="94"/>
      <c r="Q341" s="187"/>
      <c r="R341" s="187"/>
      <c r="S341" s="187"/>
      <c r="T341" s="187"/>
      <c r="U341" s="183"/>
      <c r="V341" s="183"/>
      <c r="W341" s="183"/>
      <c r="X341" s="185"/>
      <c r="Y341" s="94"/>
      <c r="Z341" s="172"/>
      <c r="AA341" s="172"/>
      <c r="AB341" s="172"/>
      <c r="AC341" s="172"/>
      <c r="AD341" s="172"/>
      <c r="AE341" s="267"/>
      <c r="AF341" s="172"/>
      <c r="AG341" s="172"/>
      <c r="AH341" s="172"/>
      <c r="AI341" s="172"/>
      <c r="AJ341" s="172"/>
      <c r="AK341" s="172"/>
      <c r="AL341" s="172"/>
    </row>
    <row r="342" spans="1:38" ht="21" customHeight="1" x14ac:dyDescent="0.3">
      <c r="A342" s="172"/>
      <c r="B342" s="184"/>
      <c r="C342" s="94"/>
      <c r="D342" s="94"/>
      <c r="E342" s="185"/>
      <c r="F342" s="186"/>
      <c r="G342" s="185"/>
      <c r="H342" s="94"/>
      <c r="I342" s="184"/>
      <c r="J342" s="94"/>
      <c r="K342" s="94"/>
      <c r="L342" s="94"/>
      <c r="M342" s="94"/>
      <c r="N342" s="94"/>
      <c r="O342" s="94"/>
      <c r="P342" s="94"/>
      <c r="Q342" s="187"/>
      <c r="R342" s="187"/>
      <c r="S342" s="187"/>
      <c r="T342" s="187"/>
      <c r="U342" s="183"/>
      <c r="V342" s="183"/>
      <c r="W342" s="183"/>
      <c r="X342" s="185"/>
      <c r="Y342" s="94"/>
      <c r="Z342" s="172"/>
      <c r="AA342" s="172"/>
      <c r="AB342" s="172"/>
      <c r="AC342" s="172"/>
      <c r="AD342" s="172"/>
      <c r="AE342" s="267"/>
      <c r="AF342" s="172"/>
      <c r="AG342" s="172"/>
      <c r="AH342" s="172"/>
      <c r="AI342" s="172"/>
      <c r="AJ342" s="172"/>
      <c r="AK342" s="172"/>
      <c r="AL342" s="172"/>
    </row>
    <row r="343" spans="1:38" ht="21" customHeight="1" x14ac:dyDescent="0.3">
      <c r="A343" s="172"/>
      <c r="B343" s="184"/>
      <c r="C343" s="94"/>
      <c r="D343" s="94"/>
      <c r="E343" s="185"/>
      <c r="F343" s="186"/>
      <c r="G343" s="185"/>
      <c r="H343" s="94"/>
      <c r="I343" s="184"/>
      <c r="J343" s="94"/>
      <c r="K343" s="94"/>
      <c r="L343" s="94"/>
      <c r="M343" s="94"/>
      <c r="N343" s="94"/>
      <c r="O343" s="94"/>
      <c r="P343" s="94"/>
      <c r="Q343" s="187"/>
      <c r="R343" s="187"/>
      <c r="S343" s="187"/>
      <c r="T343" s="187"/>
      <c r="U343" s="183"/>
      <c r="V343" s="183"/>
      <c r="W343" s="183"/>
      <c r="X343" s="185"/>
      <c r="Y343" s="94"/>
      <c r="Z343" s="172"/>
      <c r="AA343" s="172"/>
      <c r="AB343" s="172"/>
      <c r="AC343" s="172"/>
      <c r="AD343" s="172"/>
      <c r="AE343" s="267"/>
      <c r="AF343" s="172"/>
      <c r="AG343" s="172"/>
      <c r="AH343" s="172"/>
      <c r="AI343" s="172"/>
      <c r="AJ343" s="172"/>
      <c r="AK343" s="172"/>
      <c r="AL343" s="172"/>
    </row>
    <row r="344" spans="1:38" ht="21" customHeight="1" x14ac:dyDescent="0.3">
      <c r="A344" s="172"/>
      <c r="B344" s="184"/>
      <c r="C344" s="94"/>
      <c r="D344" s="94"/>
      <c r="E344" s="185"/>
      <c r="F344" s="186"/>
      <c r="G344" s="185"/>
      <c r="H344" s="94"/>
      <c r="I344" s="184"/>
      <c r="J344" s="94"/>
      <c r="K344" s="94"/>
      <c r="L344" s="94"/>
      <c r="M344" s="94"/>
      <c r="N344" s="94"/>
      <c r="O344" s="94"/>
      <c r="P344" s="94"/>
      <c r="Q344" s="187"/>
      <c r="R344" s="187"/>
      <c r="S344" s="187"/>
      <c r="T344" s="187"/>
      <c r="U344" s="183"/>
      <c r="V344" s="183"/>
      <c r="W344" s="183"/>
      <c r="X344" s="185"/>
      <c r="Y344" s="94"/>
      <c r="Z344" s="172"/>
      <c r="AA344" s="172"/>
      <c r="AB344" s="172"/>
      <c r="AC344" s="172"/>
      <c r="AD344" s="172"/>
      <c r="AE344" s="267"/>
      <c r="AF344" s="172"/>
      <c r="AG344" s="172"/>
      <c r="AH344" s="172"/>
      <c r="AI344" s="172"/>
      <c r="AJ344" s="172"/>
      <c r="AK344" s="172"/>
      <c r="AL344" s="172"/>
    </row>
    <row r="345" spans="1:38" ht="21" customHeight="1" x14ac:dyDescent="0.3">
      <c r="A345" s="172"/>
      <c r="B345" s="184"/>
      <c r="C345" s="94"/>
      <c r="D345" s="94"/>
      <c r="E345" s="185"/>
      <c r="F345" s="186"/>
      <c r="G345" s="185"/>
      <c r="H345" s="94"/>
      <c r="I345" s="184"/>
      <c r="J345" s="94"/>
      <c r="K345" s="94"/>
      <c r="L345" s="94"/>
      <c r="M345" s="94"/>
      <c r="N345" s="94"/>
      <c r="O345" s="94"/>
      <c r="P345" s="94"/>
      <c r="Q345" s="187"/>
      <c r="R345" s="187"/>
      <c r="S345" s="187"/>
      <c r="T345" s="187"/>
      <c r="U345" s="183"/>
      <c r="V345" s="183"/>
      <c r="W345" s="183"/>
      <c r="X345" s="185"/>
      <c r="Y345" s="94"/>
      <c r="Z345" s="172"/>
      <c r="AA345" s="172"/>
      <c r="AB345" s="172"/>
      <c r="AC345" s="172"/>
      <c r="AD345" s="172"/>
      <c r="AE345" s="267"/>
      <c r="AF345" s="172"/>
      <c r="AG345" s="172"/>
      <c r="AH345" s="172"/>
      <c r="AI345" s="172"/>
      <c r="AJ345" s="172"/>
      <c r="AK345" s="172"/>
      <c r="AL345" s="172"/>
    </row>
    <row r="346" spans="1:38" ht="21" customHeight="1" x14ac:dyDescent="0.3">
      <c r="A346" s="172"/>
      <c r="B346" s="184"/>
      <c r="C346" s="94"/>
      <c r="D346" s="94"/>
      <c r="E346" s="185"/>
      <c r="F346" s="186"/>
      <c r="G346" s="185"/>
      <c r="H346" s="94"/>
      <c r="I346" s="184"/>
      <c r="J346" s="94"/>
      <c r="K346" s="94"/>
      <c r="L346" s="94"/>
      <c r="M346" s="94"/>
      <c r="N346" s="94"/>
      <c r="O346" s="94"/>
      <c r="P346" s="94"/>
      <c r="Q346" s="187"/>
      <c r="R346" s="187"/>
      <c r="S346" s="187"/>
      <c r="T346" s="187"/>
      <c r="U346" s="183"/>
      <c r="V346" s="183"/>
      <c r="W346" s="183"/>
      <c r="X346" s="185"/>
      <c r="Y346" s="94"/>
      <c r="Z346" s="172"/>
      <c r="AA346" s="172"/>
      <c r="AB346" s="172"/>
      <c r="AC346" s="172"/>
      <c r="AD346" s="172"/>
      <c r="AE346" s="267"/>
      <c r="AF346" s="172"/>
      <c r="AG346" s="172"/>
      <c r="AH346" s="172"/>
      <c r="AI346" s="172"/>
      <c r="AJ346" s="172"/>
      <c r="AK346" s="172"/>
      <c r="AL346" s="172"/>
    </row>
    <row r="347" spans="1:38" ht="21" customHeight="1" x14ac:dyDescent="0.3">
      <c r="A347" s="172"/>
      <c r="B347" s="184"/>
      <c r="C347" s="94"/>
      <c r="D347" s="94"/>
      <c r="E347" s="185"/>
      <c r="F347" s="186"/>
      <c r="G347" s="185"/>
      <c r="H347" s="94"/>
      <c r="I347" s="184"/>
      <c r="J347" s="94"/>
      <c r="K347" s="94"/>
      <c r="L347" s="94"/>
      <c r="M347" s="94"/>
      <c r="N347" s="94"/>
      <c r="O347" s="94"/>
      <c r="P347" s="94"/>
      <c r="Q347" s="187"/>
      <c r="R347" s="187"/>
      <c r="S347" s="187"/>
      <c r="T347" s="187"/>
      <c r="U347" s="183"/>
      <c r="V347" s="183"/>
      <c r="W347" s="183"/>
      <c r="X347" s="185"/>
      <c r="Y347" s="94"/>
      <c r="Z347" s="172"/>
      <c r="AA347" s="172"/>
      <c r="AB347" s="172"/>
      <c r="AC347" s="172"/>
      <c r="AD347" s="172"/>
      <c r="AE347" s="267"/>
      <c r="AF347" s="172"/>
      <c r="AG347" s="172"/>
      <c r="AH347" s="172"/>
      <c r="AI347" s="172"/>
      <c r="AJ347" s="172"/>
      <c r="AK347" s="172"/>
      <c r="AL347" s="172"/>
    </row>
    <row r="348" spans="1:38" ht="21" customHeight="1" x14ac:dyDescent="0.3">
      <c r="A348" s="172"/>
      <c r="B348" s="184"/>
      <c r="C348" s="94"/>
      <c r="D348" s="94"/>
      <c r="E348" s="185"/>
      <c r="F348" s="186"/>
      <c r="G348" s="185"/>
      <c r="H348" s="94"/>
      <c r="I348" s="184"/>
      <c r="J348" s="94"/>
      <c r="K348" s="94"/>
      <c r="L348" s="94"/>
      <c r="M348" s="94"/>
      <c r="N348" s="94"/>
      <c r="O348" s="94"/>
      <c r="P348" s="94"/>
      <c r="Q348" s="187"/>
      <c r="R348" s="187"/>
      <c r="S348" s="187"/>
      <c r="T348" s="187"/>
      <c r="U348" s="183"/>
      <c r="V348" s="183"/>
      <c r="W348" s="183"/>
      <c r="X348" s="185"/>
      <c r="Y348" s="94"/>
      <c r="Z348" s="172"/>
      <c r="AA348" s="172"/>
      <c r="AB348" s="172"/>
      <c r="AC348" s="172"/>
      <c r="AD348" s="172"/>
      <c r="AE348" s="267"/>
      <c r="AF348" s="172"/>
      <c r="AG348" s="172"/>
      <c r="AH348" s="172"/>
      <c r="AI348" s="172"/>
      <c r="AJ348" s="172"/>
      <c r="AK348" s="172"/>
      <c r="AL348" s="172"/>
    </row>
    <row r="349" spans="1:38" ht="21" customHeight="1" x14ac:dyDescent="0.3">
      <c r="A349" s="172"/>
      <c r="B349" s="184"/>
      <c r="C349" s="94"/>
      <c r="D349" s="94"/>
      <c r="E349" s="185"/>
      <c r="F349" s="186"/>
      <c r="G349" s="185"/>
      <c r="H349" s="94"/>
      <c r="I349" s="184"/>
      <c r="J349" s="94"/>
      <c r="K349" s="94"/>
      <c r="L349" s="94"/>
      <c r="M349" s="94"/>
      <c r="N349" s="94"/>
      <c r="O349" s="94"/>
      <c r="P349" s="94"/>
      <c r="Q349" s="187"/>
      <c r="R349" s="187"/>
      <c r="S349" s="187"/>
      <c r="T349" s="187"/>
      <c r="U349" s="183"/>
      <c r="V349" s="183"/>
      <c r="W349" s="183"/>
      <c r="X349" s="185"/>
      <c r="Y349" s="94"/>
      <c r="Z349" s="172"/>
      <c r="AA349" s="172"/>
      <c r="AB349" s="172"/>
      <c r="AC349" s="172"/>
      <c r="AD349" s="172"/>
      <c r="AE349" s="267"/>
      <c r="AF349" s="172"/>
      <c r="AG349" s="172"/>
      <c r="AH349" s="172"/>
      <c r="AI349" s="172"/>
      <c r="AJ349" s="172"/>
      <c r="AK349" s="172"/>
      <c r="AL349" s="172"/>
    </row>
    <row r="350" spans="1:38" ht="21" customHeight="1" x14ac:dyDescent="0.3">
      <c r="A350" s="172"/>
      <c r="B350" s="184"/>
      <c r="C350" s="94"/>
      <c r="D350" s="94"/>
      <c r="E350" s="185"/>
      <c r="F350" s="186"/>
      <c r="G350" s="185"/>
      <c r="H350" s="94"/>
      <c r="I350" s="184"/>
      <c r="J350" s="94"/>
      <c r="K350" s="94"/>
      <c r="L350" s="94"/>
      <c r="M350" s="94"/>
      <c r="N350" s="94"/>
      <c r="O350" s="94"/>
      <c r="P350" s="94"/>
      <c r="Q350" s="187"/>
      <c r="R350" s="187"/>
      <c r="S350" s="187"/>
      <c r="T350" s="187"/>
      <c r="U350" s="183"/>
      <c r="V350" s="183"/>
      <c r="W350" s="183"/>
      <c r="X350" s="185"/>
      <c r="Y350" s="94"/>
      <c r="Z350" s="172"/>
      <c r="AA350" s="172"/>
      <c r="AB350" s="172"/>
      <c r="AC350" s="172"/>
      <c r="AD350" s="172"/>
      <c r="AE350" s="267"/>
      <c r="AF350" s="172"/>
      <c r="AG350" s="172"/>
      <c r="AH350" s="172"/>
      <c r="AI350" s="172"/>
      <c r="AJ350" s="172"/>
      <c r="AK350" s="172"/>
      <c r="AL350" s="172"/>
    </row>
    <row r="351" spans="1:38" ht="21" customHeight="1" x14ac:dyDescent="0.3">
      <c r="A351" s="172"/>
      <c r="B351" s="184"/>
      <c r="C351" s="94"/>
      <c r="D351" s="94"/>
      <c r="E351" s="185"/>
      <c r="F351" s="186"/>
      <c r="G351" s="185"/>
      <c r="H351" s="94"/>
      <c r="I351" s="184"/>
      <c r="J351" s="94"/>
      <c r="K351" s="94"/>
      <c r="L351" s="94"/>
      <c r="M351" s="94"/>
      <c r="N351" s="94"/>
      <c r="O351" s="94"/>
      <c r="P351" s="94"/>
      <c r="Q351" s="187"/>
      <c r="R351" s="187"/>
      <c r="S351" s="187"/>
      <c r="T351" s="187"/>
      <c r="U351" s="183"/>
      <c r="V351" s="183"/>
      <c r="W351" s="183"/>
      <c r="X351" s="185"/>
      <c r="Y351" s="94"/>
      <c r="Z351" s="172"/>
      <c r="AA351" s="172"/>
      <c r="AB351" s="172"/>
      <c r="AC351" s="172"/>
      <c r="AD351" s="172"/>
      <c r="AE351" s="267"/>
      <c r="AF351" s="172"/>
      <c r="AG351" s="172"/>
      <c r="AH351" s="172"/>
      <c r="AI351" s="172"/>
      <c r="AJ351" s="172"/>
      <c r="AK351" s="172"/>
      <c r="AL351" s="172"/>
    </row>
    <row r="352" spans="1:38" ht="21" customHeight="1" x14ac:dyDescent="0.3">
      <c r="A352" s="172"/>
      <c r="B352" s="184"/>
      <c r="C352" s="94"/>
      <c r="D352" s="94"/>
      <c r="E352" s="185"/>
      <c r="F352" s="186"/>
      <c r="G352" s="185"/>
      <c r="H352" s="94"/>
      <c r="I352" s="184"/>
      <c r="J352" s="94"/>
      <c r="K352" s="94"/>
      <c r="L352" s="94"/>
      <c r="M352" s="94"/>
      <c r="N352" s="94"/>
      <c r="O352" s="94"/>
      <c r="P352" s="94"/>
      <c r="Q352" s="187"/>
      <c r="R352" s="187"/>
      <c r="S352" s="187"/>
      <c r="T352" s="187"/>
      <c r="U352" s="183"/>
      <c r="V352" s="183"/>
      <c r="W352" s="183"/>
      <c r="X352" s="185"/>
      <c r="Y352" s="94"/>
      <c r="Z352" s="172"/>
      <c r="AA352" s="172"/>
      <c r="AB352" s="172"/>
      <c r="AC352" s="172"/>
      <c r="AD352" s="172"/>
      <c r="AE352" s="267"/>
      <c r="AF352" s="172"/>
      <c r="AG352" s="172"/>
      <c r="AH352" s="172"/>
      <c r="AI352" s="172"/>
      <c r="AJ352" s="172"/>
      <c r="AK352" s="172"/>
      <c r="AL352" s="172"/>
    </row>
    <row r="353" spans="1:38" ht="21" customHeight="1" x14ac:dyDescent="0.3">
      <c r="A353" s="172"/>
      <c r="B353" s="184"/>
      <c r="C353" s="94"/>
      <c r="D353" s="94"/>
      <c r="E353" s="185"/>
      <c r="F353" s="186"/>
      <c r="G353" s="185"/>
      <c r="H353" s="94"/>
      <c r="I353" s="184"/>
      <c r="J353" s="94"/>
      <c r="K353" s="94"/>
      <c r="L353" s="94"/>
      <c r="M353" s="94"/>
      <c r="N353" s="94"/>
      <c r="O353" s="94"/>
      <c r="P353" s="94"/>
      <c r="Q353" s="187"/>
      <c r="R353" s="187"/>
      <c r="S353" s="187"/>
      <c r="T353" s="187"/>
      <c r="U353" s="183"/>
      <c r="V353" s="183"/>
      <c r="W353" s="183"/>
      <c r="X353" s="185"/>
      <c r="Y353" s="94"/>
      <c r="Z353" s="172"/>
      <c r="AA353" s="172"/>
      <c r="AB353" s="172"/>
      <c r="AC353" s="172"/>
      <c r="AD353" s="172"/>
      <c r="AE353" s="267"/>
      <c r="AF353" s="172"/>
      <c r="AG353" s="172"/>
      <c r="AH353" s="172"/>
      <c r="AI353" s="172"/>
      <c r="AJ353" s="172"/>
      <c r="AK353" s="172"/>
      <c r="AL353" s="172"/>
    </row>
    <row r="354" spans="1:38" ht="21" customHeight="1" x14ac:dyDescent="0.3">
      <c r="A354" s="172"/>
      <c r="B354" s="184"/>
      <c r="C354" s="94"/>
      <c r="D354" s="94"/>
      <c r="E354" s="185"/>
      <c r="F354" s="186"/>
      <c r="G354" s="185"/>
      <c r="H354" s="94"/>
      <c r="I354" s="184"/>
      <c r="J354" s="94"/>
      <c r="K354" s="94"/>
      <c r="L354" s="94"/>
      <c r="M354" s="94"/>
      <c r="N354" s="94"/>
      <c r="O354" s="94"/>
      <c r="P354" s="94"/>
      <c r="Q354" s="187"/>
      <c r="R354" s="187"/>
      <c r="S354" s="187"/>
      <c r="T354" s="187"/>
      <c r="U354" s="183"/>
      <c r="V354" s="183"/>
      <c r="W354" s="183"/>
      <c r="X354" s="185"/>
      <c r="Y354" s="94"/>
      <c r="Z354" s="172"/>
      <c r="AA354" s="172"/>
      <c r="AB354" s="172"/>
      <c r="AC354" s="172"/>
      <c r="AD354" s="172"/>
      <c r="AE354" s="267"/>
      <c r="AF354" s="172"/>
      <c r="AG354" s="172"/>
      <c r="AH354" s="172"/>
      <c r="AI354" s="172"/>
      <c r="AJ354" s="172"/>
      <c r="AK354" s="172"/>
      <c r="AL354" s="172"/>
    </row>
    <row r="355" spans="1:38" ht="21" customHeight="1" x14ac:dyDescent="0.3">
      <c r="A355" s="172"/>
      <c r="B355" s="184"/>
      <c r="C355" s="94"/>
      <c r="D355" s="94"/>
      <c r="E355" s="185"/>
      <c r="F355" s="186"/>
      <c r="G355" s="185"/>
      <c r="H355" s="94"/>
      <c r="I355" s="184"/>
      <c r="J355" s="94"/>
      <c r="K355" s="94"/>
      <c r="L355" s="94"/>
      <c r="M355" s="94"/>
      <c r="N355" s="94"/>
      <c r="O355" s="94"/>
      <c r="P355" s="94"/>
      <c r="Q355" s="187"/>
      <c r="R355" s="187"/>
      <c r="S355" s="187"/>
      <c r="T355" s="187"/>
      <c r="U355" s="183"/>
      <c r="V355" s="183"/>
      <c r="W355" s="183"/>
      <c r="X355" s="185"/>
      <c r="Y355" s="94"/>
      <c r="Z355" s="172"/>
      <c r="AA355" s="172"/>
      <c r="AB355" s="172"/>
      <c r="AC355" s="172"/>
      <c r="AD355" s="172"/>
      <c r="AE355" s="267"/>
      <c r="AF355" s="172"/>
      <c r="AG355" s="172"/>
      <c r="AH355" s="172"/>
      <c r="AI355" s="172"/>
      <c r="AJ355" s="172"/>
      <c r="AK355" s="172"/>
      <c r="AL355" s="172"/>
    </row>
    <row r="356" spans="1:38" ht="21" customHeight="1" x14ac:dyDescent="0.3">
      <c r="A356" s="172"/>
      <c r="B356" s="184"/>
      <c r="C356" s="94"/>
      <c r="D356" s="94"/>
      <c r="E356" s="185"/>
      <c r="F356" s="186"/>
      <c r="G356" s="185"/>
      <c r="H356" s="94"/>
      <c r="I356" s="184"/>
      <c r="J356" s="94"/>
      <c r="K356" s="94"/>
      <c r="L356" s="94"/>
      <c r="M356" s="94"/>
      <c r="N356" s="94"/>
      <c r="O356" s="94"/>
      <c r="P356" s="94"/>
      <c r="Q356" s="187"/>
      <c r="R356" s="187"/>
      <c r="S356" s="187"/>
      <c r="T356" s="187"/>
      <c r="U356" s="183"/>
      <c r="V356" s="183"/>
      <c r="W356" s="183"/>
      <c r="X356" s="185"/>
      <c r="Y356" s="94"/>
      <c r="Z356" s="172"/>
      <c r="AA356" s="172"/>
      <c r="AB356" s="172"/>
      <c r="AC356" s="172"/>
      <c r="AD356" s="172"/>
      <c r="AE356" s="267"/>
      <c r="AF356" s="172"/>
      <c r="AG356" s="172"/>
      <c r="AH356" s="172"/>
      <c r="AI356" s="172"/>
      <c r="AJ356" s="172"/>
      <c r="AK356" s="172"/>
      <c r="AL356" s="172"/>
    </row>
    <row r="357" spans="1:38" ht="21" customHeight="1" x14ac:dyDescent="0.3">
      <c r="A357" s="172"/>
      <c r="B357" s="184"/>
      <c r="C357" s="94"/>
      <c r="D357" s="94"/>
      <c r="E357" s="185"/>
      <c r="F357" s="186"/>
      <c r="G357" s="185"/>
      <c r="H357" s="94"/>
      <c r="I357" s="184"/>
      <c r="J357" s="94"/>
      <c r="K357" s="94"/>
      <c r="L357" s="94"/>
      <c r="M357" s="94"/>
      <c r="N357" s="94"/>
      <c r="O357" s="94"/>
      <c r="P357" s="94"/>
      <c r="Q357" s="187"/>
      <c r="R357" s="187"/>
      <c r="S357" s="187"/>
      <c r="T357" s="187"/>
      <c r="U357" s="183"/>
      <c r="V357" s="183"/>
      <c r="W357" s="183"/>
      <c r="X357" s="185"/>
      <c r="Y357" s="94"/>
      <c r="Z357" s="172"/>
      <c r="AA357" s="172"/>
      <c r="AB357" s="172"/>
      <c r="AC357" s="172"/>
      <c r="AD357" s="172"/>
      <c r="AE357" s="267"/>
      <c r="AF357" s="172"/>
      <c r="AG357" s="172"/>
      <c r="AH357" s="172"/>
      <c r="AI357" s="172"/>
      <c r="AJ357" s="172"/>
      <c r="AK357" s="172"/>
      <c r="AL357" s="172"/>
    </row>
    <row r="358" spans="1:38" ht="21" customHeight="1" x14ac:dyDescent="0.3">
      <c r="A358" s="172"/>
      <c r="B358" s="184"/>
      <c r="C358" s="94"/>
      <c r="D358" s="94"/>
      <c r="E358" s="185"/>
      <c r="F358" s="186"/>
      <c r="G358" s="185"/>
      <c r="H358" s="94"/>
      <c r="I358" s="184"/>
      <c r="J358" s="94"/>
      <c r="K358" s="94"/>
      <c r="L358" s="94"/>
      <c r="M358" s="94"/>
      <c r="N358" s="94"/>
      <c r="O358" s="94"/>
      <c r="P358" s="94"/>
      <c r="Q358" s="187"/>
      <c r="R358" s="187"/>
      <c r="S358" s="187"/>
      <c r="T358" s="187"/>
      <c r="U358" s="183"/>
      <c r="V358" s="183"/>
      <c r="W358" s="183"/>
      <c r="X358" s="185"/>
      <c r="Y358" s="94"/>
      <c r="Z358" s="172"/>
      <c r="AA358" s="172"/>
      <c r="AB358" s="172"/>
      <c r="AC358" s="172"/>
      <c r="AD358" s="172"/>
      <c r="AE358" s="267"/>
      <c r="AF358" s="172"/>
      <c r="AG358" s="172"/>
      <c r="AH358" s="172"/>
      <c r="AI358" s="172"/>
      <c r="AJ358" s="172"/>
      <c r="AK358" s="172"/>
      <c r="AL358" s="172"/>
    </row>
    <row r="359" spans="1:38" ht="21" customHeight="1" x14ac:dyDescent="0.3">
      <c r="A359" s="172"/>
      <c r="B359" s="184"/>
      <c r="C359" s="94"/>
      <c r="D359" s="94"/>
      <c r="E359" s="185"/>
      <c r="F359" s="186"/>
      <c r="G359" s="185"/>
      <c r="H359" s="94"/>
      <c r="I359" s="184"/>
      <c r="J359" s="94"/>
      <c r="K359" s="94"/>
      <c r="L359" s="94"/>
      <c r="M359" s="94"/>
      <c r="N359" s="94"/>
      <c r="O359" s="94"/>
      <c r="P359" s="94"/>
      <c r="Q359" s="187"/>
      <c r="R359" s="187"/>
      <c r="S359" s="187"/>
      <c r="T359" s="187"/>
      <c r="U359" s="183"/>
      <c r="V359" s="183"/>
      <c r="W359" s="183"/>
      <c r="X359" s="185"/>
      <c r="Y359" s="94"/>
      <c r="Z359" s="172"/>
      <c r="AA359" s="172"/>
      <c r="AB359" s="172"/>
      <c r="AC359" s="172"/>
      <c r="AD359" s="172"/>
      <c r="AE359" s="267"/>
      <c r="AF359" s="172"/>
      <c r="AG359" s="172"/>
      <c r="AH359" s="172"/>
      <c r="AI359" s="172"/>
      <c r="AJ359" s="172"/>
      <c r="AK359" s="172"/>
      <c r="AL359" s="172"/>
    </row>
    <row r="360" spans="1:38" ht="21" customHeight="1" x14ac:dyDescent="0.3">
      <c r="A360" s="172"/>
      <c r="B360" s="184"/>
      <c r="C360" s="94"/>
      <c r="D360" s="94"/>
      <c r="E360" s="185"/>
      <c r="F360" s="186"/>
      <c r="G360" s="185"/>
      <c r="H360" s="94"/>
      <c r="I360" s="184"/>
      <c r="J360" s="94"/>
      <c r="K360" s="94"/>
      <c r="L360" s="94"/>
      <c r="M360" s="94"/>
      <c r="N360" s="94"/>
      <c r="O360" s="94"/>
      <c r="P360" s="94"/>
      <c r="Q360" s="187"/>
      <c r="R360" s="187"/>
      <c r="S360" s="187"/>
      <c r="T360" s="187"/>
      <c r="U360" s="183"/>
      <c r="V360" s="183"/>
      <c r="W360" s="183"/>
      <c r="X360" s="185"/>
      <c r="Y360" s="94"/>
      <c r="Z360" s="172"/>
      <c r="AA360" s="172"/>
      <c r="AB360" s="172"/>
      <c r="AC360" s="172"/>
      <c r="AD360" s="172"/>
      <c r="AE360" s="267"/>
      <c r="AF360" s="172"/>
      <c r="AG360" s="172"/>
      <c r="AH360" s="172"/>
      <c r="AI360" s="172"/>
      <c r="AJ360" s="172"/>
      <c r="AK360" s="172"/>
      <c r="AL360" s="172"/>
    </row>
    <row r="361" spans="1:38" ht="21" customHeight="1" x14ac:dyDescent="0.3">
      <c r="A361" s="172"/>
      <c r="B361" s="184"/>
      <c r="C361" s="94"/>
      <c r="D361" s="94"/>
      <c r="E361" s="185"/>
      <c r="F361" s="186"/>
      <c r="G361" s="185"/>
      <c r="H361" s="94"/>
      <c r="I361" s="184"/>
      <c r="J361" s="94"/>
      <c r="K361" s="94"/>
      <c r="L361" s="94"/>
      <c r="M361" s="94"/>
      <c r="N361" s="94"/>
      <c r="O361" s="94"/>
      <c r="P361" s="94"/>
      <c r="Q361" s="187"/>
      <c r="R361" s="187"/>
      <c r="S361" s="187"/>
      <c r="T361" s="187"/>
      <c r="U361" s="183"/>
      <c r="V361" s="183"/>
      <c r="W361" s="183"/>
      <c r="X361" s="185"/>
      <c r="Y361" s="94"/>
      <c r="Z361" s="172"/>
      <c r="AA361" s="172"/>
      <c r="AB361" s="172"/>
      <c r="AC361" s="172"/>
      <c r="AD361" s="172"/>
      <c r="AE361" s="267"/>
      <c r="AF361" s="172"/>
      <c r="AG361" s="172"/>
      <c r="AH361" s="172"/>
      <c r="AI361" s="172"/>
      <c r="AJ361" s="172"/>
      <c r="AK361" s="172"/>
      <c r="AL361" s="172"/>
    </row>
    <row r="362" spans="1:38" ht="21" customHeight="1" x14ac:dyDescent="0.3">
      <c r="A362" s="172"/>
      <c r="B362" s="184"/>
      <c r="C362" s="94"/>
      <c r="D362" s="94"/>
      <c r="E362" s="185"/>
      <c r="F362" s="186"/>
      <c r="G362" s="185"/>
      <c r="H362" s="94"/>
      <c r="I362" s="184"/>
      <c r="J362" s="94"/>
      <c r="K362" s="94"/>
      <c r="L362" s="94"/>
      <c r="M362" s="94"/>
      <c r="N362" s="94"/>
      <c r="O362" s="94"/>
      <c r="P362" s="94"/>
      <c r="Q362" s="187"/>
      <c r="R362" s="187"/>
      <c r="S362" s="187"/>
      <c r="T362" s="187"/>
      <c r="U362" s="183"/>
      <c r="V362" s="183"/>
      <c r="W362" s="183"/>
      <c r="X362" s="185"/>
      <c r="Y362" s="94"/>
      <c r="Z362" s="172"/>
      <c r="AA362" s="172"/>
      <c r="AB362" s="172"/>
      <c r="AC362" s="172"/>
      <c r="AD362" s="172"/>
      <c r="AE362" s="267"/>
      <c r="AF362" s="172"/>
      <c r="AG362" s="172"/>
      <c r="AH362" s="172"/>
      <c r="AI362" s="172"/>
      <c r="AJ362" s="172"/>
      <c r="AK362" s="172"/>
      <c r="AL362" s="172"/>
    </row>
    <row r="363" spans="1:38" ht="21" customHeight="1" x14ac:dyDescent="0.3">
      <c r="A363" s="172"/>
      <c r="B363" s="184"/>
      <c r="C363" s="94"/>
      <c r="D363" s="94"/>
      <c r="E363" s="185"/>
      <c r="F363" s="186"/>
      <c r="G363" s="185"/>
      <c r="H363" s="94"/>
      <c r="I363" s="184"/>
      <c r="J363" s="94"/>
      <c r="K363" s="94"/>
      <c r="L363" s="94"/>
      <c r="M363" s="94"/>
      <c r="N363" s="94"/>
      <c r="O363" s="94"/>
      <c r="P363" s="94"/>
      <c r="Q363" s="187"/>
      <c r="R363" s="187"/>
      <c r="S363" s="187"/>
      <c r="T363" s="187"/>
      <c r="U363" s="183"/>
      <c r="V363" s="183"/>
      <c r="W363" s="183"/>
      <c r="X363" s="185"/>
      <c r="Y363" s="94"/>
      <c r="Z363" s="172"/>
      <c r="AA363" s="172"/>
      <c r="AB363" s="172"/>
      <c r="AC363" s="172"/>
      <c r="AD363" s="172"/>
      <c r="AE363" s="267"/>
      <c r="AF363" s="172"/>
      <c r="AG363" s="172"/>
      <c r="AH363" s="172"/>
      <c r="AI363" s="172"/>
      <c r="AJ363" s="172"/>
      <c r="AK363" s="172"/>
      <c r="AL363" s="172"/>
    </row>
    <row r="364" spans="1:38" ht="21" customHeight="1" x14ac:dyDescent="0.3">
      <c r="A364" s="172"/>
      <c r="B364" s="184"/>
      <c r="C364" s="94"/>
      <c r="D364" s="94"/>
      <c r="E364" s="185"/>
      <c r="F364" s="186"/>
      <c r="G364" s="185"/>
      <c r="H364" s="94"/>
      <c r="I364" s="184"/>
      <c r="J364" s="94"/>
      <c r="K364" s="94"/>
      <c r="L364" s="94"/>
      <c r="M364" s="94"/>
      <c r="N364" s="94"/>
      <c r="O364" s="94"/>
      <c r="P364" s="94"/>
      <c r="Q364" s="187"/>
      <c r="R364" s="187"/>
      <c r="S364" s="187"/>
      <c r="T364" s="187"/>
      <c r="U364" s="183"/>
      <c r="V364" s="183"/>
      <c r="W364" s="183"/>
      <c r="X364" s="185"/>
      <c r="Y364" s="94"/>
      <c r="Z364" s="172"/>
      <c r="AA364" s="172"/>
      <c r="AB364" s="172"/>
      <c r="AC364" s="172"/>
      <c r="AD364" s="172"/>
      <c r="AE364" s="267"/>
      <c r="AF364" s="172"/>
      <c r="AG364" s="172"/>
      <c r="AH364" s="172"/>
      <c r="AI364" s="172"/>
      <c r="AJ364" s="172"/>
      <c r="AK364" s="172"/>
      <c r="AL364" s="172"/>
    </row>
    <row r="365" spans="1:38" ht="21" customHeight="1" x14ac:dyDescent="0.3">
      <c r="A365" s="172"/>
      <c r="B365" s="184"/>
      <c r="C365" s="94"/>
      <c r="D365" s="94"/>
      <c r="E365" s="185"/>
      <c r="F365" s="186"/>
      <c r="G365" s="185"/>
      <c r="H365" s="94"/>
      <c r="I365" s="184"/>
      <c r="J365" s="94"/>
      <c r="K365" s="94"/>
      <c r="L365" s="94"/>
      <c r="M365" s="94"/>
      <c r="N365" s="94"/>
      <c r="O365" s="94"/>
      <c r="P365" s="94"/>
      <c r="Q365" s="187"/>
      <c r="R365" s="187"/>
      <c r="S365" s="187"/>
      <c r="T365" s="187"/>
      <c r="U365" s="183"/>
      <c r="V365" s="183"/>
      <c r="W365" s="183"/>
      <c r="X365" s="185"/>
      <c r="Y365" s="94"/>
      <c r="Z365" s="172"/>
      <c r="AA365" s="172"/>
      <c r="AB365" s="172"/>
      <c r="AC365" s="172"/>
      <c r="AD365" s="172"/>
      <c r="AE365" s="267"/>
      <c r="AF365" s="172"/>
      <c r="AG365" s="172"/>
      <c r="AH365" s="172"/>
      <c r="AI365" s="172"/>
      <c r="AJ365" s="172"/>
      <c r="AK365" s="172"/>
      <c r="AL365" s="172"/>
    </row>
    <row r="366" spans="1:38" ht="21" customHeight="1" x14ac:dyDescent="0.3">
      <c r="A366" s="172"/>
      <c r="B366" s="184"/>
      <c r="C366" s="94"/>
      <c r="D366" s="94"/>
      <c r="E366" s="185"/>
      <c r="F366" s="186"/>
      <c r="G366" s="185"/>
      <c r="H366" s="94"/>
      <c r="I366" s="184"/>
      <c r="J366" s="94"/>
      <c r="K366" s="94"/>
      <c r="L366" s="94"/>
      <c r="M366" s="94"/>
      <c r="N366" s="94"/>
      <c r="O366" s="94"/>
      <c r="P366" s="94"/>
      <c r="Q366" s="187"/>
      <c r="R366" s="187"/>
      <c r="S366" s="187"/>
      <c r="T366" s="187"/>
      <c r="U366" s="183"/>
      <c r="V366" s="183"/>
      <c r="W366" s="183"/>
      <c r="X366" s="185"/>
      <c r="Y366" s="94"/>
      <c r="Z366" s="172"/>
      <c r="AA366" s="172"/>
      <c r="AB366" s="172"/>
      <c r="AC366" s="172"/>
      <c r="AD366" s="172"/>
      <c r="AE366" s="267"/>
      <c r="AF366" s="172"/>
      <c r="AG366" s="172"/>
      <c r="AH366" s="172"/>
      <c r="AI366" s="172"/>
      <c r="AJ366" s="172"/>
      <c r="AK366" s="172"/>
      <c r="AL366" s="172"/>
    </row>
    <row r="367" spans="1:38" ht="21" customHeight="1" x14ac:dyDescent="0.3">
      <c r="A367" s="172"/>
      <c r="B367" s="184"/>
      <c r="C367" s="94"/>
      <c r="D367" s="94"/>
      <c r="E367" s="185"/>
      <c r="F367" s="186"/>
      <c r="G367" s="185"/>
      <c r="H367" s="94"/>
      <c r="I367" s="184"/>
      <c r="J367" s="94"/>
      <c r="K367" s="94"/>
      <c r="L367" s="94"/>
      <c r="M367" s="94"/>
      <c r="N367" s="94"/>
      <c r="O367" s="94"/>
      <c r="P367" s="94"/>
      <c r="Q367" s="187"/>
      <c r="R367" s="187"/>
      <c r="S367" s="187"/>
      <c r="T367" s="187"/>
      <c r="U367" s="183"/>
      <c r="V367" s="183"/>
      <c r="W367" s="183"/>
      <c r="X367" s="185"/>
      <c r="Y367" s="94"/>
      <c r="Z367" s="172"/>
      <c r="AA367" s="172"/>
      <c r="AB367" s="172"/>
      <c r="AC367" s="172"/>
      <c r="AD367" s="172"/>
      <c r="AE367" s="267"/>
      <c r="AF367" s="172"/>
      <c r="AG367" s="172"/>
      <c r="AH367" s="172"/>
      <c r="AI367" s="172"/>
      <c r="AJ367" s="172"/>
      <c r="AK367" s="172"/>
      <c r="AL367" s="172"/>
    </row>
    <row r="368" spans="1:38" ht="21" customHeight="1" x14ac:dyDescent="0.3">
      <c r="A368" s="172"/>
      <c r="B368" s="184"/>
      <c r="C368" s="94"/>
      <c r="D368" s="94"/>
      <c r="E368" s="185"/>
      <c r="F368" s="186"/>
      <c r="G368" s="185"/>
      <c r="H368" s="94"/>
      <c r="I368" s="184"/>
      <c r="J368" s="94"/>
      <c r="K368" s="94"/>
      <c r="L368" s="94"/>
      <c r="M368" s="94"/>
      <c r="N368" s="94"/>
      <c r="O368" s="94"/>
      <c r="P368" s="94"/>
      <c r="Q368" s="187"/>
      <c r="R368" s="187"/>
      <c r="S368" s="187"/>
      <c r="T368" s="187"/>
      <c r="U368" s="183"/>
      <c r="V368" s="183"/>
      <c r="W368" s="183"/>
      <c r="X368" s="185"/>
      <c r="Y368" s="94"/>
      <c r="Z368" s="172"/>
      <c r="AA368" s="172"/>
      <c r="AB368" s="172"/>
      <c r="AC368" s="172"/>
      <c r="AD368" s="172"/>
      <c r="AE368" s="267"/>
      <c r="AF368" s="172"/>
      <c r="AG368" s="172"/>
      <c r="AH368" s="172"/>
      <c r="AI368" s="172"/>
      <c r="AJ368" s="172"/>
      <c r="AK368" s="172"/>
      <c r="AL368" s="172"/>
    </row>
    <row r="369" spans="1:38" ht="21" customHeight="1" x14ac:dyDescent="0.3">
      <c r="A369" s="172"/>
      <c r="B369" s="184"/>
      <c r="C369" s="94"/>
      <c r="D369" s="94"/>
      <c r="E369" s="185"/>
      <c r="F369" s="186"/>
      <c r="G369" s="185"/>
      <c r="H369" s="94"/>
      <c r="I369" s="184"/>
      <c r="J369" s="94"/>
      <c r="K369" s="94"/>
      <c r="L369" s="94"/>
      <c r="M369" s="94"/>
      <c r="N369" s="94"/>
      <c r="O369" s="94"/>
      <c r="P369" s="94"/>
      <c r="Q369" s="187"/>
      <c r="R369" s="187"/>
      <c r="S369" s="187"/>
      <c r="T369" s="187"/>
      <c r="U369" s="183"/>
      <c r="V369" s="183"/>
      <c r="W369" s="183"/>
      <c r="X369" s="185"/>
      <c r="Y369" s="94"/>
      <c r="Z369" s="172"/>
      <c r="AA369" s="172"/>
      <c r="AB369" s="172"/>
      <c r="AC369" s="172"/>
      <c r="AD369" s="172"/>
      <c r="AE369" s="267"/>
      <c r="AF369" s="172"/>
      <c r="AG369" s="172"/>
      <c r="AH369" s="172"/>
      <c r="AI369" s="172"/>
      <c r="AJ369" s="172"/>
      <c r="AK369" s="172"/>
      <c r="AL369" s="172"/>
    </row>
    <row r="370" spans="1:38" ht="21" customHeight="1" x14ac:dyDescent="0.3">
      <c r="A370" s="172"/>
      <c r="B370" s="184"/>
      <c r="C370" s="94"/>
      <c r="D370" s="94"/>
      <c r="E370" s="185"/>
      <c r="F370" s="186"/>
      <c r="G370" s="185"/>
      <c r="H370" s="94"/>
      <c r="I370" s="184"/>
      <c r="J370" s="94"/>
      <c r="K370" s="94"/>
      <c r="L370" s="94"/>
      <c r="M370" s="94"/>
      <c r="N370" s="94"/>
      <c r="O370" s="94"/>
      <c r="P370" s="94"/>
      <c r="Q370" s="187"/>
      <c r="R370" s="187"/>
      <c r="S370" s="187"/>
      <c r="T370" s="187"/>
      <c r="U370" s="183"/>
      <c r="V370" s="183"/>
      <c r="W370" s="183"/>
      <c r="X370" s="185"/>
      <c r="Y370" s="94"/>
      <c r="Z370" s="172"/>
      <c r="AA370" s="172"/>
      <c r="AB370" s="172"/>
      <c r="AC370" s="172"/>
      <c r="AD370" s="172"/>
      <c r="AE370" s="267"/>
      <c r="AF370" s="172"/>
      <c r="AG370" s="172"/>
      <c r="AH370" s="172"/>
      <c r="AI370" s="172"/>
      <c r="AJ370" s="172"/>
      <c r="AK370" s="172"/>
      <c r="AL370" s="172"/>
    </row>
    <row r="371" spans="1:38" ht="21" customHeight="1" x14ac:dyDescent="0.3">
      <c r="A371" s="172"/>
      <c r="B371" s="184"/>
      <c r="C371" s="94"/>
      <c r="D371" s="94"/>
      <c r="E371" s="185"/>
      <c r="F371" s="186"/>
      <c r="G371" s="185"/>
      <c r="H371" s="94"/>
      <c r="I371" s="184"/>
      <c r="J371" s="94"/>
      <c r="K371" s="94"/>
      <c r="L371" s="94"/>
      <c r="M371" s="94"/>
      <c r="N371" s="94"/>
      <c r="O371" s="94"/>
      <c r="P371" s="94"/>
      <c r="Q371" s="187"/>
      <c r="R371" s="187"/>
      <c r="S371" s="187"/>
      <c r="T371" s="187"/>
      <c r="U371" s="183"/>
      <c r="V371" s="183"/>
      <c r="W371" s="183"/>
      <c r="X371" s="185"/>
      <c r="Y371" s="94"/>
      <c r="Z371" s="172"/>
      <c r="AA371" s="172"/>
      <c r="AB371" s="172"/>
      <c r="AC371" s="172"/>
      <c r="AD371" s="172"/>
      <c r="AE371" s="267"/>
      <c r="AF371" s="172"/>
      <c r="AG371" s="172"/>
      <c r="AH371" s="172"/>
      <c r="AI371" s="172"/>
      <c r="AJ371" s="172"/>
      <c r="AK371" s="172"/>
      <c r="AL371" s="172"/>
    </row>
    <row r="372" spans="1:38" ht="21" customHeight="1" x14ac:dyDescent="0.3">
      <c r="A372" s="172"/>
      <c r="B372" s="184"/>
      <c r="C372" s="94"/>
      <c r="D372" s="94"/>
      <c r="E372" s="185"/>
      <c r="F372" s="186"/>
      <c r="G372" s="185"/>
      <c r="H372" s="94"/>
      <c r="I372" s="184"/>
      <c r="J372" s="94"/>
      <c r="K372" s="94"/>
      <c r="L372" s="94"/>
      <c r="M372" s="94"/>
      <c r="N372" s="94"/>
      <c r="O372" s="94"/>
      <c r="P372" s="94"/>
      <c r="Q372" s="187"/>
      <c r="R372" s="187"/>
      <c r="S372" s="187"/>
      <c r="T372" s="187"/>
      <c r="U372" s="183"/>
      <c r="V372" s="183"/>
      <c r="W372" s="183"/>
      <c r="X372" s="185"/>
      <c r="Y372" s="94"/>
      <c r="Z372" s="172"/>
      <c r="AA372" s="172"/>
      <c r="AB372" s="172"/>
      <c r="AC372" s="172"/>
      <c r="AD372" s="172"/>
      <c r="AE372" s="267"/>
      <c r="AF372" s="172"/>
      <c r="AG372" s="172"/>
      <c r="AH372" s="172"/>
      <c r="AI372" s="172"/>
      <c r="AJ372" s="172"/>
      <c r="AK372" s="172"/>
      <c r="AL372" s="172"/>
    </row>
    <row r="373" spans="1:38" ht="21" customHeight="1" x14ac:dyDescent="0.3">
      <c r="A373" s="172"/>
      <c r="B373" s="184"/>
      <c r="C373" s="94"/>
      <c r="D373" s="94"/>
      <c r="E373" s="185"/>
      <c r="F373" s="186"/>
      <c r="G373" s="185"/>
      <c r="H373" s="94"/>
      <c r="I373" s="184"/>
      <c r="J373" s="94"/>
      <c r="K373" s="94"/>
      <c r="L373" s="94"/>
      <c r="M373" s="94"/>
      <c r="N373" s="94"/>
      <c r="O373" s="94"/>
      <c r="P373" s="94"/>
      <c r="Q373" s="187"/>
      <c r="R373" s="187"/>
      <c r="S373" s="187"/>
      <c r="T373" s="187"/>
      <c r="U373" s="183"/>
      <c r="V373" s="183"/>
      <c r="W373" s="183"/>
      <c r="X373" s="185"/>
      <c r="Y373" s="94"/>
      <c r="Z373" s="172"/>
      <c r="AA373" s="172"/>
      <c r="AB373" s="172"/>
      <c r="AC373" s="172"/>
      <c r="AD373" s="172"/>
      <c r="AE373" s="267"/>
      <c r="AF373" s="172"/>
      <c r="AG373" s="172"/>
      <c r="AH373" s="172"/>
      <c r="AI373" s="172"/>
      <c r="AJ373" s="172"/>
      <c r="AK373" s="172"/>
      <c r="AL373" s="172"/>
    </row>
    <row r="374" spans="1:38" ht="21" customHeight="1" x14ac:dyDescent="0.3">
      <c r="A374" s="172"/>
      <c r="B374" s="184"/>
      <c r="C374" s="94"/>
      <c r="D374" s="94"/>
      <c r="E374" s="185"/>
      <c r="F374" s="186"/>
      <c r="G374" s="185"/>
      <c r="H374" s="94"/>
      <c r="I374" s="184"/>
      <c r="J374" s="94"/>
      <c r="K374" s="94"/>
      <c r="L374" s="94"/>
      <c r="M374" s="94"/>
      <c r="N374" s="94"/>
      <c r="O374" s="94"/>
      <c r="P374" s="94"/>
      <c r="Q374" s="187"/>
      <c r="R374" s="187"/>
      <c r="S374" s="187"/>
      <c r="T374" s="187"/>
      <c r="U374" s="183"/>
      <c r="V374" s="183"/>
      <c r="W374" s="183"/>
      <c r="X374" s="185"/>
      <c r="Y374" s="94"/>
      <c r="Z374" s="172"/>
      <c r="AA374" s="172"/>
      <c r="AB374" s="172"/>
      <c r="AC374" s="172"/>
      <c r="AD374" s="172"/>
      <c r="AE374" s="267"/>
      <c r="AF374" s="172"/>
      <c r="AG374" s="172"/>
      <c r="AH374" s="172"/>
      <c r="AI374" s="172"/>
      <c r="AJ374" s="172"/>
      <c r="AK374" s="172"/>
      <c r="AL374" s="172"/>
    </row>
    <row r="375" spans="1:38" ht="21" customHeight="1" x14ac:dyDescent="0.3">
      <c r="A375" s="172"/>
      <c r="B375" s="184"/>
      <c r="C375" s="94"/>
      <c r="D375" s="94"/>
      <c r="E375" s="185"/>
      <c r="F375" s="186"/>
      <c r="G375" s="185"/>
      <c r="H375" s="94"/>
      <c r="I375" s="184"/>
      <c r="J375" s="94"/>
      <c r="K375" s="94"/>
      <c r="L375" s="94"/>
      <c r="M375" s="94"/>
      <c r="N375" s="94"/>
      <c r="O375" s="94"/>
      <c r="P375" s="94"/>
      <c r="Q375" s="187"/>
      <c r="R375" s="187"/>
      <c r="S375" s="187"/>
      <c r="T375" s="187"/>
      <c r="U375" s="183"/>
      <c r="V375" s="183"/>
      <c r="W375" s="183"/>
      <c r="X375" s="185"/>
      <c r="Y375" s="94"/>
      <c r="Z375" s="172"/>
      <c r="AA375" s="172"/>
      <c r="AB375" s="172"/>
      <c r="AC375" s="172"/>
      <c r="AD375" s="172"/>
      <c r="AE375" s="267"/>
      <c r="AF375" s="172"/>
      <c r="AG375" s="172"/>
      <c r="AH375" s="172"/>
      <c r="AI375" s="172"/>
      <c r="AJ375" s="172"/>
      <c r="AK375" s="172"/>
      <c r="AL375" s="172"/>
    </row>
    <row r="376" spans="1:38" ht="21" customHeight="1" x14ac:dyDescent="0.3">
      <c r="A376" s="172"/>
      <c r="B376" s="184"/>
      <c r="C376" s="94"/>
      <c r="D376" s="94"/>
      <c r="E376" s="185"/>
      <c r="F376" s="186"/>
      <c r="G376" s="185"/>
      <c r="H376" s="94"/>
      <c r="I376" s="184"/>
      <c r="J376" s="94"/>
      <c r="K376" s="94"/>
      <c r="L376" s="94"/>
      <c r="M376" s="94"/>
      <c r="N376" s="94"/>
      <c r="O376" s="94"/>
      <c r="P376" s="94"/>
      <c r="Q376" s="187"/>
      <c r="R376" s="187"/>
      <c r="S376" s="187"/>
      <c r="T376" s="187"/>
      <c r="U376" s="183"/>
      <c r="V376" s="183"/>
      <c r="W376" s="183"/>
      <c r="X376" s="185"/>
      <c r="Y376" s="94"/>
      <c r="Z376" s="172"/>
      <c r="AA376" s="172"/>
      <c r="AB376" s="172"/>
      <c r="AC376" s="172"/>
      <c r="AD376" s="172"/>
      <c r="AE376" s="267"/>
      <c r="AF376" s="172"/>
      <c r="AG376" s="172"/>
      <c r="AH376" s="172"/>
      <c r="AI376" s="172"/>
      <c r="AJ376" s="172"/>
      <c r="AK376" s="172"/>
      <c r="AL376" s="172"/>
    </row>
    <row r="377" spans="1:38" ht="21" customHeight="1" x14ac:dyDescent="0.3">
      <c r="A377" s="172"/>
      <c r="B377" s="184"/>
      <c r="C377" s="94"/>
      <c r="D377" s="94"/>
      <c r="E377" s="185"/>
      <c r="F377" s="186"/>
      <c r="G377" s="185"/>
      <c r="H377" s="94"/>
      <c r="I377" s="184"/>
      <c r="J377" s="94"/>
      <c r="K377" s="94"/>
      <c r="L377" s="94"/>
      <c r="M377" s="94"/>
      <c r="N377" s="94"/>
      <c r="O377" s="94"/>
      <c r="P377" s="94"/>
      <c r="Q377" s="187"/>
      <c r="R377" s="187"/>
      <c r="S377" s="187"/>
      <c r="T377" s="187"/>
      <c r="U377" s="183"/>
      <c r="V377" s="183"/>
      <c r="W377" s="183"/>
      <c r="X377" s="185"/>
      <c r="Y377" s="94"/>
      <c r="Z377" s="172"/>
      <c r="AA377" s="172"/>
      <c r="AB377" s="172"/>
      <c r="AC377" s="172"/>
      <c r="AD377" s="172"/>
      <c r="AE377" s="267"/>
      <c r="AF377" s="172"/>
      <c r="AG377" s="172"/>
      <c r="AH377" s="172"/>
      <c r="AI377" s="172"/>
      <c r="AJ377" s="172"/>
      <c r="AK377" s="172"/>
      <c r="AL377" s="172"/>
    </row>
    <row r="378" spans="1:38" ht="21" customHeight="1" x14ac:dyDescent="0.3">
      <c r="A378" s="172"/>
      <c r="B378" s="184"/>
      <c r="C378" s="94"/>
      <c r="D378" s="94"/>
      <c r="E378" s="185"/>
      <c r="F378" s="186"/>
      <c r="G378" s="185"/>
      <c r="H378" s="94"/>
      <c r="I378" s="184"/>
      <c r="J378" s="94"/>
      <c r="K378" s="94"/>
      <c r="L378" s="94"/>
      <c r="M378" s="94"/>
      <c r="N378" s="94"/>
      <c r="O378" s="94"/>
      <c r="P378" s="94"/>
      <c r="Q378" s="187"/>
      <c r="R378" s="187"/>
      <c r="S378" s="187"/>
      <c r="T378" s="187"/>
      <c r="U378" s="183"/>
      <c r="V378" s="183"/>
      <c r="W378" s="183"/>
      <c r="X378" s="185"/>
      <c r="Y378" s="94"/>
      <c r="Z378" s="172"/>
      <c r="AA378" s="172"/>
      <c r="AB378" s="172"/>
      <c r="AC378" s="172"/>
      <c r="AD378" s="172"/>
      <c r="AE378" s="267"/>
      <c r="AF378" s="172"/>
      <c r="AG378" s="172"/>
      <c r="AH378" s="172"/>
      <c r="AI378" s="172"/>
      <c r="AJ378" s="172"/>
      <c r="AK378" s="172"/>
      <c r="AL378" s="172"/>
    </row>
    <row r="379" spans="1:38" ht="21" customHeight="1" x14ac:dyDescent="0.3">
      <c r="A379" s="172"/>
      <c r="B379" s="184"/>
      <c r="C379" s="94"/>
      <c r="D379" s="94"/>
      <c r="E379" s="185"/>
      <c r="F379" s="186"/>
      <c r="G379" s="185"/>
      <c r="H379" s="94"/>
      <c r="I379" s="184"/>
      <c r="J379" s="94"/>
      <c r="K379" s="94"/>
      <c r="L379" s="94"/>
      <c r="M379" s="94"/>
      <c r="N379" s="94"/>
      <c r="O379" s="94"/>
      <c r="P379" s="94"/>
      <c r="Q379" s="187"/>
      <c r="R379" s="187"/>
      <c r="S379" s="187"/>
      <c r="T379" s="187"/>
      <c r="U379" s="183"/>
      <c r="V379" s="183"/>
      <c r="W379" s="183"/>
      <c r="X379" s="185"/>
      <c r="Y379" s="94"/>
      <c r="Z379" s="172"/>
      <c r="AA379" s="172"/>
      <c r="AB379" s="172"/>
      <c r="AC379" s="172"/>
      <c r="AD379" s="172"/>
      <c r="AE379" s="267"/>
      <c r="AF379" s="172"/>
      <c r="AG379" s="172"/>
      <c r="AH379" s="172"/>
      <c r="AI379" s="172"/>
      <c r="AJ379" s="172"/>
      <c r="AK379" s="172"/>
      <c r="AL379" s="172"/>
    </row>
    <row r="380" spans="1:38" ht="21" customHeight="1" x14ac:dyDescent="0.3">
      <c r="A380" s="172"/>
      <c r="B380" s="184"/>
      <c r="C380" s="94"/>
      <c r="D380" s="94"/>
      <c r="E380" s="185"/>
      <c r="F380" s="186"/>
      <c r="G380" s="185"/>
      <c r="H380" s="94"/>
      <c r="I380" s="184"/>
      <c r="J380" s="94"/>
      <c r="K380" s="94"/>
      <c r="L380" s="94"/>
      <c r="M380" s="94"/>
      <c r="N380" s="94"/>
      <c r="O380" s="94"/>
      <c r="P380" s="94"/>
      <c r="Q380" s="187"/>
      <c r="R380" s="187"/>
      <c r="S380" s="187"/>
      <c r="T380" s="187"/>
      <c r="U380" s="183"/>
      <c r="V380" s="183"/>
      <c r="W380" s="183"/>
      <c r="X380" s="185"/>
      <c r="Y380" s="94"/>
      <c r="Z380" s="172"/>
      <c r="AA380" s="172"/>
      <c r="AB380" s="172"/>
      <c r="AC380" s="172"/>
      <c r="AD380" s="172"/>
      <c r="AE380" s="267"/>
      <c r="AF380" s="172"/>
      <c r="AG380" s="172"/>
      <c r="AH380" s="172"/>
      <c r="AI380" s="172"/>
      <c r="AJ380" s="172"/>
      <c r="AK380" s="172"/>
      <c r="AL380" s="172"/>
    </row>
    <row r="381" spans="1:38" ht="21" customHeight="1" x14ac:dyDescent="0.3">
      <c r="A381" s="172"/>
      <c r="B381" s="184"/>
      <c r="C381" s="94"/>
      <c r="D381" s="94"/>
      <c r="E381" s="185"/>
      <c r="F381" s="186"/>
      <c r="G381" s="185"/>
      <c r="H381" s="94"/>
      <c r="I381" s="184"/>
      <c r="J381" s="94"/>
      <c r="K381" s="94"/>
      <c r="L381" s="94"/>
      <c r="M381" s="94"/>
      <c r="N381" s="94"/>
      <c r="O381" s="94"/>
      <c r="P381" s="94"/>
      <c r="Q381" s="187"/>
      <c r="R381" s="187"/>
      <c r="S381" s="187"/>
      <c r="T381" s="187"/>
      <c r="U381" s="183"/>
      <c r="V381" s="183"/>
      <c r="W381" s="183"/>
      <c r="X381" s="185"/>
      <c r="Y381" s="94"/>
      <c r="Z381" s="172"/>
      <c r="AA381" s="172"/>
      <c r="AB381" s="172"/>
      <c r="AC381" s="172"/>
      <c r="AD381" s="172"/>
      <c r="AE381" s="267"/>
      <c r="AF381" s="172"/>
      <c r="AG381" s="172"/>
      <c r="AH381" s="172"/>
      <c r="AI381" s="172"/>
      <c r="AJ381" s="172"/>
      <c r="AK381" s="172"/>
      <c r="AL381" s="172"/>
    </row>
    <row r="382" spans="1:38" ht="21" customHeight="1" x14ac:dyDescent="0.3">
      <c r="A382" s="172"/>
      <c r="B382" s="184"/>
      <c r="C382" s="94"/>
      <c r="D382" s="94"/>
      <c r="E382" s="185"/>
      <c r="F382" s="186"/>
      <c r="G382" s="185"/>
      <c r="H382" s="94"/>
      <c r="I382" s="184"/>
      <c r="J382" s="94"/>
      <c r="K382" s="94"/>
      <c r="L382" s="94"/>
      <c r="M382" s="94"/>
      <c r="N382" s="94"/>
      <c r="O382" s="94"/>
      <c r="P382" s="94"/>
      <c r="Q382" s="187"/>
      <c r="R382" s="187"/>
      <c r="S382" s="187"/>
      <c r="T382" s="187"/>
      <c r="U382" s="183"/>
      <c r="V382" s="183"/>
      <c r="W382" s="183"/>
      <c r="X382" s="185"/>
      <c r="Y382" s="94"/>
      <c r="Z382" s="172"/>
      <c r="AA382" s="172"/>
      <c r="AB382" s="172"/>
      <c r="AC382" s="172"/>
      <c r="AD382" s="172"/>
      <c r="AE382" s="267"/>
      <c r="AF382" s="172"/>
      <c r="AG382" s="172"/>
      <c r="AH382" s="172"/>
      <c r="AI382" s="172"/>
      <c r="AJ382" s="172"/>
      <c r="AK382" s="172"/>
      <c r="AL382" s="172"/>
    </row>
    <row r="383" spans="1:38" ht="21" customHeight="1" x14ac:dyDescent="0.3">
      <c r="A383" s="172"/>
      <c r="B383" s="184"/>
      <c r="C383" s="94"/>
      <c r="D383" s="94"/>
      <c r="E383" s="185"/>
      <c r="F383" s="186"/>
      <c r="G383" s="185"/>
      <c r="H383" s="94"/>
      <c r="I383" s="184"/>
      <c r="J383" s="94"/>
      <c r="K383" s="94"/>
      <c r="L383" s="94"/>
      <c r="M383" s="94"/>
      <c r="N383" s="94"/>
      <c r="O383" s="94"/>
      <c r="P383" s="94"/>
      <c r="Q383" s="187"/>
      <c r="R383" s="187"/>
      <c r="S383" s="187"/>
      <c r="T383" s="187"/>
      <c r="U383" s="183"/>
      <c r="V383" s="183"/>
      <c r="W383" s="183"/>
      <c r="X383" s="185"/>
      <c r="Y383" s="94"/>
      <c r="Z383" s="172"/>
      <c r="AA383" s="172"/>
      <c r="AB383" s="172"/>
      <c r="AC383" s="172"/>
      <c r="AD383" s="172"/>
      <c r="AE383" s="267"/>
      <c r="AF383" s="172"/>
      <c r="AG383" s="172"/>
      <c r="AH383" s="172"/>
      <c r="AI383" s="172"/>
      <c r="AJ383" s="172"/>
      <c r="AK383" s="172"/>
      <c r="AL383" s="172"/>
    </row>
    <row r="384" spans="1:38" ht="21" customHeight="1" x14ac:dyDescent="0.3">
      <c r="A384" s="172"/>
      <c r="B384" s="184"/>
      <c r="C384" s="94"/>
      <c r="D384" s="94"/>
      <c r="E384" s="185"/>
      <c r="F384" s="186"/>
      <c r="G384" s="185"/>
      <c r="H384" s="94"/>
      <c r="I384" s="184"/>
      <c r="J384" s="94"/>
      <c r="K384" s="94"/>
      <c r="L384" s="94"/>
      <c r="M384" s="94"/>
      <c r="N384" s="94"/>
      <c r="O384" s="94"/>
      <c r="P384" s="94"/>
      <c r="Q384" s="187"/>
      <c r="R384" s="187"/>
      <c r="S384" s="187"/>
      <c r="T384" s="187"/>
      <c r="U384" s="183"/>
      <c r="V384" s="183"/>
      <c r="W384" s="183"/>
      <c r="X384" s="185"/>
      <c r="Y384" s="94"/>
      <c r="Z384" s="172"/>
      <c r="AA384" s="172"/>
      <c r="AB384" s="172"/>
      <c r="AC384" s="172"/>
      <c r="AD384" s="172"/>
      <c r="AE384" s="267"/>
      <c r="AF384" s="172"/>
      <c r="AG384" s="172"/>
      <c r="AH384" s="172"/>
      <c r="AI384" s="172"/>
      <c r="AJ384" s="172"/>
      <c r="AK384" s="172"/>
      <c r="AL384" s="172"/>
    </row>
    <row r="385" spans="1:38" ht="21" customHeight="1" x14ac:dyDescent="0.3">
      <c r="A385" s="172"/>
      <c r="B385" s="184"/>
      <c r="C385" s="94"/>
      <c r="D385" s="94"/>
      <c r="E385" s="185"/>
      <c r="F385" s="186"/>
      <c r="G385" s="185"/>
      <c r="H385" s="94"/>
      <c r="I385" s="184"/>
      <c r="J385" s="94"/>
      <c r="K385" s="94"/>
      <c r="L385" s="94"/>
      <c r="M385" s="94"/>
      <c r="N385" s="94"/>
      <c r="O385" s="94"/>
      <c r="P385" s="94"/>
      <c r="Q385" s="187"/>
      <c r="R385" s="187"/>
      <c r="S385" s="187"/>
      <c r="T385" s="187"/>
      <c r="U385" s="183"/>
      <c r="V385" s="183"/>
      <c r="W385" s="183"/>
      <c r="X385" s="185"/>
      <c r="Y385" s="94"/>
      <c r="Z385" s="172"/>
      <c r="AA385" s="172"/>
      <c r="AB385" s="172"/>
      <c r="AC385" s="172"/>
      <c r="AD385" s="172"/>
      <c r="AE385" s="267"/>
      <c r="AF385" s="172"/>
      <c r="AG385" s="172"/>
      <c r="AH385" s="172"/>
      <c r="AI385" s="172"/>
      <c r="AJ385" s="172"/>
      <c r="AK385" s="172"/>
      <c r="AL385" s="172"/>
    </row>
    <row r="386" spans="1:38" ht="21" customHeight="1" x14ac:dyDescent="0.3">
      <c r="A386" s="172"/>
      <c r="B386" s="184"/>
      <c r="C386" s="94"/>
      <c r="D386" s="94"/>
      <c r="E386" s="185"/>
      <c r="F386" s="186"/>
      <c r="G386" s="185"/>
      <c r="H386" s="94"/>
      <c r="I386" s="184"/>
      <c r="J386" s="94"/>
      <c r="K386" s="94"/>
      <c r="L386" s="94"/>
      <c r="M386" s="94"/>
      <c r="N386" s="94"/>
      <c r="O386" s="94"/>
      <c r="P386" s="94"/>
      <c r="Q386" s="187"/>
      <c r="R386" s="187"/>
      <c r="S386" s="187"/>
      <c r="T386" s="187"/>
      <c r="U386" s="183"/>
      <c r="V386" s="183"/>
      <c r="W386" s="183"/>
      <c r="X386" s="185"/>
      <c r="Y386" s="94"/>
      <c r="Z386" s="172"/>
      <c r="AA386" s="172"/>
      <c r="AB386" s="172"/>
      <c r="AC386" s="172"/>
      <c r="AD386" s="172"/>
      <c r="AE386" s="267"/>
      <c r="AF386" s="172"/>
      <c r="AG386" s="172"/>
      <c r="AH386" s="172"/>
      <c r="AI386" s="172"/>
      <c r="AJ386" s="172"/>
      <c r="AK386" s="172"/>
      <c r="AL386" s="172"/>
    </row>
    <row r="387" spans="1:38" ht="21" customHeight="1" x14ac:dyDescent="0.3">
      <c r="A387" s="172"/>
      <c r="B387" s="184"/>
      <c r="C387" s="94"/>
      <c r="D387" s="94"/>
      <c r="E387" s="185"/>
      <c r="F387" s="186"/>
      <c r="G387" s="185"/>
      <c r="H387" s="94"/>
      <c r="I387" s="184"/>
      <c r="J387" s="94"/>
      <c r="K387" s="94"/>
      <c r="L387" s="94"/>
      <c r="M387" s="94"/>
      <c r="N387" s="94"/>
      <c r="O387" s="94"/>
      <c r="P387" s="94"/>
      <c r="Q387" s="187"/>
      <c r="R387" s="187"/>
      <c r="S387" s="187"/>
      <c r="T387" s="187"/>
      <c r="U387" s="183"/>
      <c r="V387" s="183"/>
      <c r="W387" s="183"/>
      <c r="X387" s="185"/>
      <c r="Y387" s="94"/>
      <c r="Z387" s="172"/>
      <c r="AA387" s="172"/>
      <c r="AB387" s="172"/>
      <c r="AC387" s="172"/>
      <c r="AD387" s="172"/>
      <c r="AE387" s="267"/>
      <c r="AF387" s="172"/>
      <c r="AG387" s="172"/>
      <c r="AH387" s="172"/>
      <c r="AI387" s="172"/>
      <c r="AJ387" s="172"/>
      <c r="AK387" s="172"/>
      <c r="AL387" s="172"/>
    </row>
    <row r="388" spans="1:38" ht="21" customHeight="1" x14ac:dyDescent="0.3">
      <c r="A388" s="172"/>
      <c r="B388" s="184"/>
      <c r="C388" s="94"/>
      <c r="D388" s="94"/>
      <c r="E388" s="185"/>
      <c r="F388" s="186"/>
      <c r="G388" s="185"/>
      <c r="H388" s="94"/>
      <c r="I388" s="184"/>
      <c r="J388" s="94"/>
      <c r="K388" s="94"/>
      <c r="L388" s="94"/>
      <c r="M388" s="94"/>
      <c r="N388" s="94"/>
      <c r="O388" s="94"/>
      <c r="P388" s="94"/>
      <c r="Q388" s="187"/>
      <c r="R388" s="187"/>
      <c r="S388" s="187"/>
      <c r="T388" s="187"/>
      <c r="U388" s="183"/>
      <c r="V388" s="183"/>
      <c r="W388" s="183"/>
      <c r="X388" s="185"/>
      <c r="Y388" s="94"/>
      <c r="Z388" s="172"/>
      <c r="AA388" s="172"/>
      <c r="AB388" s="172"/>
      <c r="AC388" s="172"/>
      <c r="AD388" s="172"/>
      <c r="AE388" s="267"/>
      <c r="AF388" s="172"/>
      <c r="AG388" s="172"/>
      <c r="AH388" s="172"/>
      <c r="AI388" s="172"/>
      <c r="AJ388" s="172"/>
      <c r="AK388" s="172"/>
      <c r="AL388" s="172"/>
    </row>
    <row r="389" spans="1:38" ht="21" customHeight="1" x14ac:dyDescent="0.3">
      <c r="A389" s="172"/>
      <c r="B389" s="184"/>
      <c r="C389" s="94"/>
      <c r="D389" s="94"/>
      <c r="E389" s="185"/>
      <c r="F389" s="186"/>
      <c r="G389" s="185"/>
      <c r="H389" s="94"/>
      <c r="I389" s="184"/>
      <c r="J389" s="94"/>
      <c r="K389" s="94"/>
      <c r="L389" s="94"/>
      <c r="M389" s="94"/>
      <c r="N389" s="94"/>
      <c r="O389" s="94"/>
      <c r="P389" s="94"/>
      <c r="Q389" s="187"/>
      <c r="R389" s="187"/>
      <c r="S389" s="187"/>
      <c r="T389" s="187"/>
      <c r="U389" s="183"/>
      <c r="V389" s="183"/>
      <c r="W389" s="183"/>
      <c r="X389" s="185"/>
      <c r="Y389" s="94"/>
      <c r="Z389" s="172"/>
      <c r="AA389" s="172"/>
      <c r="AB389" s="172"/>
      <c r="AC389" s="172"/>
      <c r="AD389" s="172"/>
      <c r="AE389" s="267"/>
      <c r="AF389" s="172"/>
      <c r="AG389" s="172"/>
      <c r="AH389" s="172"/>
      <c r="AI389" s="172"/>
      <c r="AJ389" s="172"/>
      <c r="AK389" s="172"/>
      <c r="AL389" s="172"/>
    </row>
    <row r="390" spans="1:38" ht="21" customHeight="1" x14ac:dyDescent="0.3">
      <c r="A390" s="172"/>
      <c r="B390" s="184"/>
      <c r="C390" s="94"/>
      <c r="D390" s="94"/>
      <c r="E390" s="185"/>
      <c r="F390" s="186"/>
      <c r="G390" s="185"/>
      <c r="H390" s="94"/>
      <c r="I390" s="184"/>
      <c r="J390" s="94"/>
      <c r="K390" s="94"/>
      <c r="L390" s="94"/>
      <c r="M390" s="94"/>
      <c r="N390" s="94"/>
      <c r="O390" s="94"/>
      <c r="P390" s="94"/>
      <c r="Q390" s="187"/>
      <c r="R390" s="187"/>
      <c r="S390" s="187"/>
      <c r="T390" s="187"/>
      <c r="U390" s="183"/>
      <c r="V390" s="183"/>
      <c r="W390" s="183"/>
      <c r="X390" s="185"/>
      <c r="Y390" s="94"/>
      <c r="Z390" s="172"/>
      <c r="AA390" s="172"/>
      <c r="AB390" s="172"/>
      <c r="AC390" s="172"/>
      <c r="AD390" s="172"/>
      <c r="AE390" s="267"/>
      <c r="AF390" s="172"/>
      <c r="AG390" s="172"/>
      <c r="AH390" s="172"/>
      <c r="AI390" s="172"/>
      <c r="AJ390" s="172"/>
      <c r="AK390" s="172"/>
      <c r="AL390" s="172"/>
    </row>
    <row r="391" spans="1:38" ht="21" customHeight="1" x14ac:dyDescent="0.3">
      <c r="A391" s="172"/>
      <c r="B391" s="184"/>
      <c r="C391" s="94"/>
      <c r="D391" s="94"/>
      <c r="E391" s="185"/>
      <c r="F391" s="186"/>
      <c r="G391" s="185"/>
      <c r="H391" s="94"/>
      <c r="I391" s="184"/>
      <c r="J391" s="94"/>
      <c r="K391" s="94"/>
      <c r="L391" s="94"/>
      <c r="M391" s="94"/>
      <c r="N391" s="94"/>
      <c r="O391" s="94"/>
      <c r="P391" s="94"/>
      <c r="Q391" s="187"/>
      <c r="R391" s="187"/>
      <c r="S391" s="187"/>
      <c r="T391" s="187"/>
      <c r="U391" s="183"/>
      <c r="V391" s="183"/>
      <c r="W391" s="183"/>
      <c r="X391" s="185"/>
      <c r="Y391" s="94"/>
      <c r="Z391" s="172"/>
      <c r="AA391" s="172"/>
      <c r="AB391" s="172"/>
      <c r="AC391" s="172"/>
      <c r="AD391" s="172"/>
      <c r="AE391" s="267"/>
      <c r="AF391" s="172"/>
      <c r="AG391" s="172"/>
      <c r="AH391" s="172"/>
      <c r="AI391" s="172"/>
      <c r="AJ391" s="172"/>
      <c r="AK391" s="172"/>
      <c r="AL391" s="172"/>
    </row>
    <row r="392" spans="1:38" ht="21" customHeight="1" x14ac:dyDescent="0.3">
      <c r="A392" s="172"/>
      <c r="B392" s="184"/>
      <c r="C392" s="94"/>
      <c r="D392" s="94"/>
      <c r="E392" s="185"/>
      <c r="F392" s="186"/>
      <c r="G392" s="185"/>
      <c r="H392" s="94"/>
      <c r="I392" s="184"/>
      <c r="J392" s="94"/>
      <c r="K392" s="94"/>
      <c r="L392" s="94"/>
      <c r="M392" s="94"/>
      <c r="N392" s="94"/>
      <c r="O392" s="94"/>
      <c r="P392" s="94"/>
      <c r="Q392" s="187"/>
      <c r="R392" s="187"/>
      <c r="S392" s="187"/>
      <c r="T392" s="187"/>
      <c r="U392" s="183"/>
      <c r="V392" s="183"/>
      <c r="W392" s="183"/>
      <c r="X392" s="185"/>
      <c r="Y392" s="94"/>
      <c r="Z392" s="172"/>
      <c r="AA392" s="172"/>
      <c r="AB392" s="172"/>
      <c r="AC392" s="172"/>
      <c r="AD392" s="172"/>
      <c r="AE392" s="267"/>
      <c r="AF392" s="172"/>
      <c r="AG392" s="172"/>
      <c r="AH392" s="172"/>
      <c r="AI392" s="172"/>
      <c r="AJ392" s="172"/>
      <c r="AK392" s="172"/>
      <c r="AL392" s="172"/>
    </row>
    <row r="393" spans="1:38" ht="21" customHeight="1" x14ac:dyDescent="0.3">
      <c r="A393" s="172"/>
      <c r="B393" s="184"/>
      <c r="C393" s="94"/>
      <c r="D393" s="94"/>
      <c r="E393" s="185"/>
      <c r="F393" s="186"/>
      <c r="G393" s="185"/>
      <c r="H393" s="94"/>
      <c r="I393" s="184"/>
      <c r="J393" s="94"/>
      <c r="K393" s="94"/>
      <c r="L393" s="94"/>
      <c r="M393" s="94"/>
      <c r="N393" s="94"/>
      <c r="O393" s="94"/>
      <c r="P393" s="94"/>
      <c r="Q393" s="187"/>
      <c r="R393" s="187"/>
      <c r="S393" s="187"/>
      <c r="T393" s="187"/>
      <c r="U393" s="183"/>
      <c r="V393" s="183"/>
      <c r="W393" s="183"/>
      <c r="X393" s="185"/>
      <c r="Y393" s="94"/>
      <c r="Z393" s="172"/>
      <c r="AA393" s="172"/>
      <c r="AB393" s="172"/>
      <c r="AC393" s="172"/>
      <c r="AD393" s="172"/>
      <c r="AE393" s="267"/>
      <c r="AF393" s="172"/>
      <c r="AG393" s="172"/>
      <c r="AH393" s="172"/>
      <c r="AI393" s="172"/>
      <c r="AJ393" s="172"/>
      <c r="AK393" s="172"/>
      <c r="AL393" s="172"/>
    </row>
    <row r="394" spans="1:38" ht="21" customHeight="1" x14ac:dyDescent="0.3">
      <c r="A394" s="172"/>
      <c r="B394" s="184"/>
      <c r="C394" s="94"/>
      <c r="D394" s="94"/>
      <c r="E394" s="185"/>
      <c r="F394" s="186"/>
      <c r="G394" s="185"/>
      <c r="H394" s="94"/>
      <c r="I394" s="184"/>
      <c r="J394" s="94"/>
      <c r="K394" s="94"/>
      <c r="L394" s="94"/>
      <c r="M394" s="94"/>
      <c r="N394" s="94"/>
      <c r="O394" s="94"/>
      <c r="P394" s="94"/>
      <c r="Q394" s="187"/>
      <c r="R394" s="187"/>
      <c r="S394" s="187"/>
      <c r="T394" s="187"/>
      <c r="U394" s="183"/>
      <c r="V394" s="183"/>
      <c r="W394" s="183"/>
      <c r="X394" s="185"/>
      <c r="Y394" s="94"/>
      <c r="Z394" s="172"/>
      <c r="AA394" s="172"/>
      <c r="AB394" s="172"/>
      <c r="AC394" s="172"/>
      <c r="AD394" s="172"/>
      <c r="AE394" s="267"/>
      <c r="AF394" s="172"/>
      <c r="AG394" s="172"/>
      <c r="AH394" s="172"/>
      <c r="AI394" s="172"/>
      <c r="AJ394" s="172"/>
      <c r="AK394" s="172"/>
      <c r="AL394" s="172"/>
    </row>
    <row r="395" spans="1:38" ht="21" customHeight="1" x14ac:dyDescent="0.3">
      <c r="A395" s="172"/>
      <c r="B395" s="184"/>
      <c r="C395" s="94"/>
      <c r="D395" s="94"/>
      <c r="E395" s="185"/>
      <c r="F395" s="186"/>
      <c r="G395" s="185"/>
      <c r="H395" s="94"/>
      <c r="I395" s="184"/>
      <c r="J395" s="94"/>
      <c r="K395" s="94"/>
      <c r="L395" s="94"/>
      <c r="M395" s="94"/>
      <c r="N395" s="94"/>
      <c r="O395" s="94"/>
      <c r="P395" s="94"/>
      <c r="Q395" s="187"/>
      <c r="R395" s="187"/>
      <c r="S395" s="187"/>
      <c r="T395" s="187"/>
      <c r="U395" s="183"/>
      <c r="V395" s="183"/>
      <c r="W395" s="183"/>
      <c r="X395" s="185"/>
      <c r="Y395" s="94"/>
      <c r="Z395" s="172"/>
      <c r="AA395" s="172"/>
      <c r="AB395" s="172"/>
      <c r="AC395" s="172"/>
      <c r="AD395" s="172"/>
      <c r="AE395" s="267"/>
      <c r="AF395" s="172"/>
      <c r="AG395" s="172"/>
      <c r="AH395" s="172"/>
      <c r="AI395" s="172"/>
      <c r="AJ395" s="172"/>
      <c r="AK395" s="172"/>
      <c r="AL395" s="172"/>
    </row>
    <row r="396" spans="1:38" ht="21" customHeight="1" x14ac:dyDescent="0.3">
      <c r="A396" s="172"/>
      <c r="B396" s="184"/>
      <c r="C396" s="94"/>
      <c r="D396" s="94"/>
      <c r="E396" s="185"/>
      <c r="F396" s="186"/>
      <c r="G396" s="185"/>
      <c r="H396" s="94"/>
      <c r="I396" s="184"/>
      <c r="J396" s="94"/>
      <c r="K396" s="94"/>
      <c r="L396" s="94"/>
      <c r="M396" s="94"/>
      <c r="N396" s="94"/>
      <c r="O396" s="94"/>
      <c r="P396" s="94"/>
      <c r="Q396" s="187"/>
      <c r="R396" s="187"/>
      <c r="S396" s="187"/>
      <c r="T396" s="187"/>
      <c r="U396" s="183"/>
      <c r="V396" s="183"/>
      <c r="W396" s="183"/>
      <c r="X396" s="185"/>
      <c r="Y396" s="94"/>
      <c r="Z396" s="172"/>
      <c r="AA396" s="172"/>
      <c r="AB396" s="172"/>
      <c r="AC396" s="172"/>
      <c r="AD396" s="172"/>
      <c r="AE396" s="267"/>
      <c r="AF396" s="172"/>
      <c r="AG396" s="172"/>
      <c r="AH396" s="172"/>
      <c r="AI396" s="172"/>
      <c r="AJ396" s="172"/>
      <c r="AK396" s="172"/>
      <c r="AL396" s="172"/>
    </row>
    <row r="397" spans="1:38" ht="21" customHeight="1" x14ac:dyDescent="0.3">
      <c r="A397" s="172"/>
      <c r="B397" s="184"/>
      <c r="C397" s="94"/>
      <c r="D397" s="94"/>
      <c r="E397" s="185"/>
      <c r="F397" s="186"/>
      <c r="G397" s="185"/>
      <c r="H397" s="94"/>
      <c r="I397" s="184"/>
      <c r="J397" s="94"/>
      <c r="K397" s="94"/>
      <c r="L397" s="94"/>
      <c r="M397" s="94"/>
      <c r="N397" s="94"/>
      <c r="O397" s="94"/>
      <c r="P397" s="94"/>
      <c r="Q397" s="187"/>
      <c r="R397" s="187"/>
      <c r="S397" s="187"/>
      <c r="T397" s="187"/>
      <c r="U397" s="183"/>
      <c r="V397" s="183"/>
      <c r="W397" s="183"/>
      <c r="X397" s="185"/>
      <c r="Y397" s="94"/>
      <c r="Z397" s="172"/>
      <c r="AA397" s="172"/>
      <c r="AB397" s="172"/>
      <c r="AC397" s="172"/>
      <c r="AD397" s="172"/>
      <c r="AE397" s="267"/>
      <c r="AF397" s="172"/>
      <c r="AG397" s="172"/>
      <c r="AH397" s="172"/>
      <c r="AI397" s="172"/>
      <c r="AJ397" s="172"/>
      <c r="AK397" s="172"/>
      <c r="AL397" s="172"/>
    </row>
    <row r="398" spans="1:38" ht="21" customHeight="1" x14ac:dyDescent="0.3">
      <c r="A398" s="172"/>
      <c r="B398" s="184"/>
      <c r="C398" s="94"/>
      <c r="D398" s="94"/>
      <c r="E398" s="185"/>
      <c r="F398" s="186"/>
      <c r="G398" s="185"/>
      <c r="H398" s="94"/>
      <c r="I398" s="184"/>
      <c r="J398" s="94"/>
      <c r="K398" s="94"/>
      <c r="L398" s="94"/>
      <c r="M398" s="94"/>
      <c r="N398" s="94"/>
      <c r="O398" s="94"/>
      <c r="P398" s="94"/>
      <c r="Q398" s="187"/>
      <c r="R398" s="187"/>
      <c r="S398" s="187"/>
      <c r="T398" s="187"/>
      <c r="U398" s="183"/>
      <c r="V398" s="183"/>
      <c r="W398" s="183"/>
      <c r="X398" s="185"/>
      <c r="Y398" s="94"/>
      <c r="Z398" s="172"/>
      <c r="AA398" s="172"/>
      <c r="AB398" s="172"/>
      <c r="AC398" s="172"/>
      <c r="AD398" s="172"/>
      <c r="AE398" s="267"/>
      <c r="AF398" s="172"/>
      <c r="AG398" s="172"/>
      <c r="AH398" s="172"/>
      <c r="AI398" s="172"/>
      <c r="AJ398" s="172"/>
      <c r="AK398" s="172"/>
      <c r="AL398" s="172"/>
    </row>
    <row r="399" spans="1:38" ht="21" customHeight="1" x14ac:dyDescent="0.3">
      <c r="A399" s="172"/>
      <c r="B399" s="184"/>
      <c r="C399" s="94"/>
      <c r="D399" s="94"/>
      <c r="E399" s="185"/>
      <c r="F399" s="186"/>
      <c r="G399" s="185"/>
      <c r="H399" s="94"/>
      <c r="I399" s="184"/>
      <c r="J399" s="94"/>
      <c r="K399" s="94"/>
      <c r="L399" s="94"/>
      <c r="M399" s="94"/>
      <c r="N399" s="94"/>
      <c r="O399" s="94"/>
      <c r="P399" s="94"/>
      <c r="Q399" s="187"/>
      <c r="R399" s="187"/>
      <c r="S399" s="187"/>
      <c r="T399" s="187"/>
      <c r="U399" s="183"/>
      <c r="V399" s="183"/>
      <c r="W399" s="183"/>
      <c r="X399" s="185"/>
      <c r="Y399" s="94"/>
      <c r="Z399" s="172"/>
      <c r="AA399" s="172"/>
      <c r="AB399" s="172"/>
      <c r="AC399" s="172"/>
      <c r="AD399" s="172"/>
      <c r="AE399" s="267"/>
      <c r="AF399" s="172"/>
      <c r="AG399" s="172"/>
      <c r="AH399" s="172"/>
      <c r="AI399" s="172"/>
      <c r="AJ399" s="172"/>
      <c r="AK399" s="172"/>
      <c r="AL399" s="172"/>
    </row>
    <row r="400" spans="1:38" ht="21" customHeight="1" x14ac:dyDescent="0.3">
      <c r="A400" s="172"/>
      <c r="B400" s="184"/>
      <c r="C400" s="94"/>
      <c r="D400" s="94"/>
      <c r="E400" s="185"/>
      <c r="F400" s="186"/>
      <c r="G400" s="185"/>
      <c r="H400" s="94"/>
      <c r="I400" s="184"/>
      <c r="J400" s="94"/>
      <c r="K400" s="94"/>
      <c r="L400" s="94"/>
      <c r="M400" s="94"/>
      <c r="N400" s="94"/>
      <c r="O400" s="94"/>
      <c r="P400" s="94"/>
      <c r="Q400" s="187"/>
      <c r="R400" s="187"/>
      <c r="S400" s="187"/>
      <c r="T400" s="187"/>
      <c r="U400" s="183"/>
      <c r="V400" s="183"/>
      <c r="W400" s="183"/>
      <c r="X400" s="185"/>
      <c r="Y400" s="94"/>
      <c r="Z400" s="172"/>
      <c r="AA400" s="172"/>
      <c r="AB400" s="172"/>
      <c r="AC400" s="172"/>
      <c r="AD400" s="172"/>
      <c r="AE400" s="267"/>
      <c r="AF400" s="172"/>
      <c r="AG400" s="172"/>
      <c r="AH400" s="172"/>
      <c r="AI400" s="172"/>
      <c r="AJ400" s="172"/>
      <c r="AK400" s="172"/>
      <c r="AL400" s="172"/>
    </row>
    <row r="401" spans="1:38" ht="21" customHeight="1" x14ac:dyDescent="0.3">
      <c r="A401" s="172"/>
      <c r="B401" s="184"/>
      <c r="C401" s="94"/>
      <c r="D401" s="94"/>
      <c r="E401" s="185"/>
      <c r="F401" s="186"/>
      <c r="G401" s="185"/>
      <c r="H401" s="94"/>
      <c r="I401" s="184"/>
      <c r="J401" s="94"/>
      <c r="K401" s="94"/>
      <c r="L401" s="94"/>
      <c r="M401" s="94"/>
      <c r="N401" s="94"/>
      <c r="O401" s="94"/>
      <c r="P401" s="94"/>
      <c r="Q401" s="187"/>
      <c r="R401" s="187"/>
      <c r="S401" s="187"/>
      <c r="T401" s="187"/>
      <c r="U401" s="183"/>
      <c r="V401" s="183"/>
      <c r="W401" s="183"/>
      <c r="X401" s="185"/>
      <c r="Y401" s="94"/>
      <c r="Z401" s="172"/>
      <c r="AA401" s="172"/>
      <c r="AB401" s="172"/>
      <c r="AC401" s="172"/>
      <c r="AD401" s="172"/>
      <c r="AE401" s="267"/>
      <c r="AF401" s="172"/>
      <c r="AG401" s="172"/>
      <c r="AH401" s="172"/>
      <c r="AI401" s="172"/>
      <c r="AJ401" s="172"/>
      <c r="AK401" s="172"/>
      <c r="AL401" s="172"/>
    </row>
    <row r="402" spans="1:38" ht="21" customHeight="1" x14ac:dyDescent="0.3">
      <c r="A402" s="172"/>
      <c r="B402" s="184"/>
      <c r="C402" s="94"/>
      <c r="D402" s="94"/>
      <c r="E402" s="185"/>
      <c r="F402" s="186"/>
      <c r="G402" s="185"/>
      <c r="H402" s="94"/>
      <c r="I402" s="184"/>
      <c r="J402" s="94"/>
      <c r="K402" s="94"/>
      <c r="L402" s="94"/>
      <c r="M402" s="94"/>
      <c r="N402" s="94"/>
      <c r="O402" s="94"/>
      <c r="P402" s="94"/>
      <c r="Q402" s="187"/>
      <c r="R402" s="187"/>
      <c r="S402" s="187"/>
      <c r="T402" s="187"/>
      <c r="U402" s="183"/>
      <c r="V402" s="183"/>
      <c r="W402" s="183"/>
      <c r="X402" s="185"/>
      <c r="Y402" s="94"/>
      <c r="Z402" s="172"/>
      <c r="AA402" s="172"/>
      <c r="AB402" s="172"/>
      <c r="AC402" s="172"/>
      <c r="AD402" s="172"/>
      <c r="AE402" s="267"/>
      <c r="AF402" s="172"/>
      <c r="AG402" s="172"/>
      <c r="AH402" s="172"/>
      <c r="AI402" s="172"/>
      <c r="AJ402" s="172"/>
      <c r="AK402" s="172"/>
      <c r="AL402" s="172"/>
    </row>
    <row r="403" spans="1:38" ht="21" customHeight="1" x14ac:dyDescent="0.3">
      <c r="A403" s="172"/>
      <c r="B403" s="184"/>
      <c r="C403" s="94"/>
      <c r="D403" s="94"/>
      <c r="E403" s="185"/>
      <c r="F403" s="186"/>
      <c r="G403" s="185"/>
      <c r="H403" s="94"/>
      <c r="I403" s="184"/>
      <c r="J403" s="94"/>
      <c r="K403" s="94"/>
      <c r="L403" s="94"/>
      <c r="M403" s="94"/>
      <c r="N403" s="94"/>
      <c r="O403" s="94"/>
      <c r="P403" s="94"/>
      <c r="Q403" s="187"/>
      <c r="R403" s="187"/>
      <c r="S403" s="187"/>
      <c r="T403" s="187"/>
      <c r="U403" s="183"/>
      <c r="V403" s="183"/>
      <c r="W403" s="183"/>
      <c r="X403" s="185"/>
      <c r="Y403" s="94"/>
      <c r="Z403" s="172"/>
      <c r="AA403" s="172"/>
      <c r="AB403" s="172"/>
      <c r="AC403" s="172"/>
      <c r="AD403" s="172"/>
      <c r="AE403" s="267"/>
      <c r="AF403" s="172"/>
      <c r="AG403" s="172"/>
      <c r="AH403" s="172"/>
      <c r="AI403" s="172"/>
      <c r="AJ403" s="172"/>
      <c r="AK403" s="172"/>
      <c r="AL403" s="172"/>
    </row>
    <row r="404" spans="1:38" ht="21" customHeight="1" x14ac:dyDescent="0.3">
      <c r="A404" s="172"/>
      <c r="B404" s="184"/>
      <c r="C404" s="94"/>
      <c r="D404" s="94"/>
      <c r="E404" s="185"/>
      <c r="F404" s="186"/>
      <c r="G404" s="185"/>
      <c r="H404" s="94"/>
      <c r="I404" s="184"/>
      <c r="J404" s="94"/>
      <c r="K404" s="94"/>
      <c r="L404" s="94"/>
      <c r="M404" s="94"/>
      <c r="N404" s="94"/>
      <c r="O404" s="94"/>
      <c r="P404" s="94"/>
      <c r="Q404" s="187"/>
      <c r="R404" s="187"/>
      <c r="S404" s="187"/>
      <c r="T404" s="187"/>
      <c r="U404" s="183"/>
      <c r="V404" s="183"/>
      <c r="W404" s="183"/>
      <c r="X404" s="185"/>
      <c r="Y404" s="94"/>
      <c r="Z404" s="172"/>
      <c r="AA404" s="172"/>
      <c r="AB404" s="172"/>
      <c r="AC404" s="172"/>
      <c r="AD404" s="172"/>
      <c r="AE404" s="267"/>
      <c r="AF404" s="172"/>
      <c r="AG404" s="172"/>
      <c r="AH404" s="172"/>
      <c r="AI404" s="172"/>
      <c r="AJ404" s="172"/>
      <c r="AK404" s="172"/>
      <c r="AL404" s="172"/>
    </row>
    <row r="405" spans="1:38" ht="21" customHeight="1" x14ac:dyDescent="0.3">
      <c r="A405" s="172"/>
      <c r="B405" s="184"/>
      <c r="C405" s="94"/>
      <c r="D405" s="94"/>
      <c r="E405" s="185"/>
      <c r="F405" s="186"/>
      <c r="G405" s="185"/>
      <c r="H405" s="94"/>
      <c r="I405" s="184"/>
      <c r="J405" s="94"/>
      <c r="K405" s="94"/>
      <c r="L405" s="94"/>
      <c r="M405" s="94"/>
      <c r="N405" s="94"/>
      <c r="O405" s="94"/>
      <c r="P405" s="94"/>
      <c r="Q405" s="187"/>
      <c r="R405" s="187"/>
      <c r="S405" s="187"/>
      <c r="T405" s="187"/>
      <c r="U405" s="183"/>
      <c r="V405" s="183"/>
      <c r="W405" s="183"/>
      <c r="X405" s="185"/>
      <c r="Y405" s="94"/>
      <c r="Z405" s="172"/>
      <c r="AA405" s="172"/>
      <c r="AB405" s="172"/>
      <c r="AC405" s="172"/>
      <c r="AD405" s="172"/>
      <c r="AE405" s="267"/>
      <c r="AF405" s="172"/>
      <c r="AG405" s="172"/>
      <c r="AH405" s="172"/>
      <c r="AI405" s="172"/>
      <c r="AJ405" s="172"/>
      <c r="AK405" s="172"/>
      <c r="AL405" s="172"/>
    </row>
    <row r="406" spans="1:38" ht="21" customHeight="1" x14ac:dyDescent="0.3">
      <c r="A406" s="172"/>
      <c r="B406" s="184"/>
      <c r="C406" s="94"/>
      <c r="D406" s="94"/>
      <c r="E406" s="185"/>
      <c r="F406" s="186"/>
      <c r="G406" s="185"/>
      <c r="H406" s="94"/>
      <c r="I406" s="184"/>
      <c r="J406" s="94"/>
      <c r="K406" s="94"/>
      <c r="L406" s="94"/>
      <c r="M406" s="94"/>
      <c r="N406" s="94"/>
      <c r="O406" s="94"/>
      <c r="P406" s="94"/>
      <c r="Q406" s="187"/>
      <c r="R406" s="187"/>
      <c r="S406" s="187"/>
      <c r="T406" s="187"/>
      <c r="U406" s="183"/>
      <c r="V406" s="183"/>
      <c r="W406" s="183"/>
      <c r="X406" s="185"/>
      <c r="Y406" s="94"/>
      <c r="Z406" s="172"/>
      <c r="AA406" s="172"/>
      <c r="AB406" s="172"/>
      <c r="AC406" s="172"/>
      <c r="AD406" s="172"/>
      <c r="AE406" s="267"/>
      <c r="AF406" s="172"/>
      <c r="AG406" s="172"/>
      <c r="AH406" s="172"/>
      <c r="AI406" s="172"/>
      <c r="AJ406" s="172"/>
      <c r="AK406" s="172"/>
      <c r="AL406" s="172"/>
    </row>
    <row r="407" spans="1:38" ht="21" customHeight="1" x14ac:dyDescent="0.3">
      <c r="A407" s="172"/>
      <c r="B407" s="184"/>
      <c r="C407" s="94"/>
      <c r="D407" s="94"/>
      <c r="E407" s="185"/>
      <c r="F407" s="186"/>
      <c r="G407" s="185"/>
      <c r="H407" s="94"/>
      <c r="I407" s="184"/>
      <c r="J407" s="94"/>
      <c r="K407" s="94"/>
      <c r="L407" s="94"/>
      <c r="M407" s="94"/>
      <c r="N407" s="94"/>
      <c r="O407" s="94"/>
      <c r="P407" s="94"/>
      <c r="Q407" s="187"/>
      <c r="R407" s="187"/>
      <c r="S407" s="187"/>
      <c r="T407" s="187"/>
      <c r="U407" s="183"/>
      <c r="V407" s="183"/>
      <c r="W407" s="183"/>
      <c r="X407" s="185"/>
      <c r="Y407" s="94"/>
      <c r="Z407" s="172"/>
      <c r="AA407" s="172"/>
      <c r="AB407" s="172"/>
      <c r="AC407" s="172"/>
      <c r="AD407" s="172"/>
      <c r="AE407" s="267"/>
      <c r="AF407" s="172"/>
      <c r="AG407" s="172"/>
      <c r="AH407" s="172"/>
      <c r="AI407" s="172"/>
      <c r="AJ407" s="172"/>
      <c r="AK407" s="172"/>
      <c r="AL407" s="172"/>
    </row>
    <row r="408" spans="1:38" ht="21" customHeight="1" x14ac:dyDescent="0.3">
      <c r="A408" s="172"/>
      <c r="B408" s="184"/>
      <c r="C408" s="94"/>
      <c r="D408" s="94"/>
      <c r="E408" s="185"/>
      <c r="F408" s="186"/>
      <c r="G408" s="185"/>
      <c r="H408" s="94"/>
      <c r="I408" s="184"/>
      <c r="J408" s="94"/>
      <c r="K408" s="94"/>
      <c r="L408" s="94"/>
      <c r="M408" s="94"/>
      <c r="N408" s="94"/>
      <c r="O408" s="94"/>
      <c r="P408" s="94"/>
      <c r="Q408" s="187"/>
      <c r="R408" s="187"/>
      <c r="S408" s="187"/>
      <c r="T408" s="187"/>
      <c r="U408" s="183"/>
      <c r="V408" s="183"/>
      <c r="W408" s="183"/>
      <c r="X408" s="185"/>
      <c r="Y408" s="94"/>
      <c r="Z408" s="172"/>
      <c r="AA408" s="172"/>
      <c r="AB408" s="172"/>
      <c r="AC408" s="172"/>
      <c r="AD408" s="172"/>
      <c r="AE408" s="267"/>
      <c r="AF408" s="172"/>
      <c r="AG408" s="172"/>
      <c r="AH408" s="172"/>
      <c r="AI408" s="172"/>
      <c r="AJ408" s="172"/>
      <c r="AK408" s="172"/>
      <c r="AL408" s="172"/>
    </row>
    <row r="409" spans="1:38" ht="21" customHeight="1" x14ac:dyDescent="0.3">
      <c r="A409" s="172"/>
      <c r="B409" s="184"/>
      <c r="C409" s="94"/>
      <c r="D409" s="94"/>
      <c r="E409" s="185"/>
      <c r="F409" s="186"/>
      <c r="G409" s="185"/>
      <c r="H409" s="94"/>
      <c r="I409" s="184"/>
      <c r="J409" s="94"/>
      <c r="K409" s="94"/>
      <c r="L409" s="94"/>
      <c r="M409" s="94"/>
      <c r="N409" s="94"/>
      <c r="O409" s="94"/>
      <c r="P409" s="94"/>
      <c r="Q409" s="187"/>
      <c r="R409" s="187"/>
      <c r="S409" s="187"/>
      <c r="T409" s="187"/>
      <c r="U409" s="183"/>
      <c r="V409" s="183"/>
      <c r="W409" s="183"/>
      <c r="X409" s="185"/>
      <c r="Y409" s="94"/>
      <c r="Z409" s="172"/>
      <c r="AA409" s="172"/>
      <c r="AB409" s="172"/>
      <c r="AC409" s="172"/>
      <c r="AD409" s="172"/>
      <c r="AE409" s="267"/>
      <c r="AF409" s="172"/>
      <c r="AG409" s="172"/>
      <c r="AH409" s="172"/>
      <c r="AI409" s="172"/>
      <c r="AJ409" s="172"/>
      <c r="AK409" s="172"/>
      <c r="AL409" s="172"/>
    </row>
    <row r="410" spans="1:38" ht="21" customHeight="1" x14ac:dyDescent="0.3">
      <c r="A410" s="172"/>
      <c r="B410" s="184"/>
      <c r="C410" s="94"/>
      <c r="D410" s="94"/>
      <c r="E410" s="185"/>
      <c r="F410" s="186"/>
      <c r="G410" s="185"/>
      <c r="H410" s="94"/>
      <c r="I410" s="184"/>
      <c r="J410" s="94"/>
      <c r="K410" s="94"/>
      <c r="L410" s="94"/>
      <c r="M410" s="94"/>
      <c r="N410" s="94"/>
      <c r="O410" s="94"/>
      <c r="P410" s="94"/>
      <c r="Q410" s="187"/>
      <c r="R410" s="187"/>
      <c r="S410" s="187"/>
      <c r="T410" s="187"/>
      <c r="U410" s="183"/>
      <c r="V410" s="183"/>
      <c r="W410" s="183"/>
      <c r="X410" s="185"/>
      <c r="Y410" s="94"/>
      <c r="Z410" s="172"/>
      <c r="AA410" s="172"/>
      <c r="AB410" s="172"/>
      <c r="AC410" s="172"/>
      <c r="AD410" s="172"/>
      <c r="AE410" s="267"/>
      <c r="AF410" s="172"/>
      <c r="AG410" s="172"/>
      <c r="AH410" s="172"/>
      <c r="AI410" s="172"/>
      <c r="AJ410" s="172"/>
      <c r="AK410" s="172"/>
      <c r="AL410" s="172"/>
    </row>
    <row r="411" spans="1:38" ht="21" customHeight="1" x14ac:dyDescent="0.3">
      <c r="A411" s="172"/>
      <c r="B411" s="184"/>
      <c r="C411" s="94"/>
      <c r="D411" s="94"/>
      <c r="E411" s="185"/>
      <c r="F411" s="186"/>
      <c r="G411" s="185"/>
      <c r="H411" s="94"/>
      <c r="I411" s="184"/>
      <c r="J411" s="94"/>
      <c r="K411" s="94"/>
      <c r="L411" s="94"/>
      <c r="M411" s="94"/>
      <c r="N411" s="94"/>
      <c r="O411" s="94"/>
      <c r="P411" s="94"/>
      <c r="Q411" s="187"/>
      <c r="R411" s="187"/>
      <c r="S411" s="187"/>
      <c r="T411" s="187"/>
      <c r="U411" s="183"/>
      <c r="V411" s="183"/>
      <c r="W411" s="183"/>
      <c r="X411" s="185"/>
      <c r="Y411" s="94"/>
      <c r="Z411" s="172"/>
      <c r="AA411" s="172"/>
      <c r="AB411" s="172"/>
      <c r="AC411" s="172"/>
      <c r="AD411" s="172"/>
      <c r="AE411" s="267"/>
      <c r="AF411" s="172"/>
      <c r="AG411" s="172"/>
      <c r="AH411" s="172"/>
      <c r="AI411" s="172"/>
      <c r="AJ411" s="172"/>
      <c r="AK411" s="172"/>
      <c r="AL411" s="172"/>
    </row>
    <row r="412" spans="1:38" ht="21" customHeight="1" x14ac:dyDescent="0.3">
      <c r="A412" s="172"/>
      <c r="B412" s="184"/>
      <c r="C412" s="94"/>
      <c r="D412" s="94"/>
      <c r="E412" s="185"/>
      <c r="F412" s="186"/>
      <c r="G412" s="185"/>
      <c r="H412" s="94"/>
      <c r="I412" s="184"/>
      <c r="J412" s="94"/>
      <c r="K412" s="94"/>
      <c r="L412" s="94"/>
      <c r="M412" s="94"/>
      <c r="N412" s="94"/>
      <c r="O412" s="94"/>
      <c r="P412" s="94"/>
      <c r="Q412" s="187"/>
      <c r="R412" s="187"/>
      <c r="S412" s="187"/>
      <c r="T412" s="187"/>
      <c r="U412" s="183"/>
      <c r="V412" s="183"/>
      <c r="W412" s="183"/>
      <c r="X412" s="185"/>
      <c r="Y412" s="94"/>
      <c r="Z412" s="172"/>
      <c r="AA412" s="172"/>
      <c r="AB412" s="172"/>
      <c r="AC412" s="172"/>
      <c r="AD412" s="172"/>
      <c r="AE412" s="267"/>
      <c r="AF412" s="172"/>
      <c r="AG412" s="172"/>
      <c r="AH412" s="172"/>
      <c r="AI412" s="172"/>
      <c r="AJ412" s="172"/>
      <c r="AK412" s="172"/>
      <c r="AL412" s="172"/>
    </row>
    <row r="413" spans="1:38" ht="21" customHeight="1" x14ac:dyDescent="0.3">
      <c r="A413" s="172"/>
      <c r="B413" s="184"/>
      <c r="C413" s="94"/>
      <c r="D413" s="94"/>
      <c r="E413" s="185"/>
      <c r="F413" s="186"/>
      <c r="G413" s="185"/>
      <c r="H413" s="94"/>
      <c r="I413" s="184"/>
      <c r="J413" s="94"/>
      <c r="K413" s="94"/>
      <c r="L413" s="94"/>
      <c r="M413" s="94"/>
      <c r="N413" s="94"/>
      <c r="O413" s="94"/>
      <c r="P413" s="94"/>
      <c r="Q413" s="187"/>
      <c r="R413" s="187"/>
      <c r="S413" s="187"/>
      <c r="T413" s="187"/>
      <c r="U413" s="183"/>
      <c r="V413" s="183"/>
      <c r="W413" s="183"/>
      <c r="X413" s="185"/>
      <c r="Y413" s="94"/>
      <c r="Z413" s="172"/>
      <c r="AA413" s="172"/>
      <c r="AB413" s="172"/>
      <c r="AC413" s="172"/>
      <c r="AD413" s="172"/>
      <c r="AE413" s="267"/>
      <c r="AF413" s="172"/>
      <c r="AG413" s="172"/>
      <c r="AH413" s="172"/>
      <c r="AI413" s="172"/>
      <c r="AJ413" s="172"/>
      <c r="AK413" s="172"/>
      <c r="AL413" s="172"/>
    </row>
    <row r="414" spans="1:38" ht="21" customHeight="1" x14ac:dyDescent="0.3">
      <c r="A414" s="172"/>
      <c r="B414" s="184"/>
      <c r="C414" s="94"/>
      <c r="D414" s="94"/>
      <c r="E414" s="185"/>
      <c r="F414" s="186"/>
      <c r="G414" s="185"/>
      <c r="H414" s="94"/>
      <c r="I414" s="184"/>
      <c r="J414" s="94"/>
      <c r="K414" s="94"/>
      <c r="L414" s="94"/>
      <c r="M414" s="94"/>
      <c r="N414" s="94"/>
      <c r="O414" s="94"/>
      <c r="P414" s="94"/>
      <c r="Q414" s="187"/>
      <c r="R414" s="187"/>
      <c r="S414" s="187"/>
      <c r="T414" s="187"/>
      <c r="U414" s="183"/>
      <c r="V414" s="183"/>
      <c r="W414" s="183"/>
      <c r="X414" s="185"/>
      <c r="Y414" s="94"/>
      <c r="Z414" s="172"/>
      <c r="AA414" s="172"/>
      <c r="AB414" s="172"/>
      <c r="AC414" s="172"/>
      <c r="AD414" s="172"/>
      <c r="AE414" s="267"/>
      <c r="AF414" s="172"/>
      <c r="AG414" s="172"/>
      <c r="AH414" s="172"/>
      <c r="AI414" s="172"/>
      <c r="AJ414" s="172"/>
      <c r="AK414" s="172"/>
      <c r="AL414" s="172"/>
    </row>
    <row r="415" spans="1:38" ht="21" customHeight="1" x14ac:dyDescent="0.3">
      <c r="A415" s="172"/>
      <c r="B415" s="184"/>
      <c r="C415" s="94"/>
      <c r="D415" s="94"/>
      <c r="E415" s="185"/>
      <c r="F415" s="186"/>
      <c r="G415" s="185"/>
      <c r="H415" s="94"/>
      <c r="I415" s="184"/>
      <c r="J415" s="94"/>
      <c r="K415" s="94"/>
      <c r="L415" s="94"/>
      <c r="M415" s="94"/>
      <c r="N415" s="94"/>
      <c r="O415" s="94"/>
      <c r="P415" s="94"/>
      <c r="Q415" s="187"/>
      <c r="R415" s="187"/>
      <c r="S415" s="187"/>
      <c r="T415" s="187"/>
      <c r="U415" s="183"/>
      <c r="V415" s="183"/>
      <c r="W415" s="183"/>
      <c r="X415" s="185"/>
      <c r="Y415" s="94"/>
      <c r="Z415" s="172"/>
      <c r="AA415" s="172"/>
      <c r="AB415" s="172"/>
      <c r="AC415" s="172"/>
      <c r="AD415" s="172"/>
      <c r="AE415" s="267"/>
      <c r="AF415" s="172"/>
      <c r="AG415" s="172"/>
      <c r="AH415" s="172"/>
      <c r="AI415" s="172"/>
      <c r="AJ415" s="172"/>
      <c r="AK415" s="172"/>
      <c r="AL415" s="172"/>
    </row>
    <row r="416" spans="1:38" ht="21" customHeight="1" x14ac:dyDescent="0.3">
      <c r="A416" s="172"/>
      <c r="B416" s="184"/>
      <c r="C416" s="94"/>
      <c r="D416" s="94"/>
      <c r="E416" s="185"/>
      <c r="F416" s="186"/>
      <c r="G416" s="185"/>
      <c r="H416" s="94"/>
      <c r="I416" s="184"/>
      <c r="J416" s="94"/>
      <c r="K416" s="94"/>
      <c r="L416" s="94"/>
      <c r="M416" s="94"/>
      <c r="N416" s="94"/>
      <c r="O416" s="94"/>
      <c r="P416" s="94"/>
      <c r="Q416" s="187"/>
      <c r="R416" s="187"/>
      <c r="S416" s="187"/>
      <c r="T416" s="187"/>
      <c r="U416" s="183"/>
      <c r="V416" s="183"/>
      <c r="W416" s="183"/>
      <c r="X416" s="185"/>
      <c r="Y416" s="94"/>
      <c r="Z416" s="172"/>
      <c r="AA416" s="172"/>
      <c r="AB416" s="172"/>
      <c r="AC416" s="172"/>
      <c r="AD416" s="172"/>
      <c r="AE416" s="267"/>
      <c r="AF416" s="172"/>
      <c r="AG416" s="172"/>
      <c r="AH416" s="172"/>
      <c r="AI416" s="172"/>
      <c r="AJ416" s="172"/>
      <c r="AK416" s="172"/>
      <c r="AL416" s="172"/>
    </row>
    <row r="417" spans="1:38" ht="21" customHeight="1" x14ac:dyDescent="0.3">
      <c r="A417" s="172"/>
      <c r="B417" s="184"/>
      <c r="C417" s="94"/>
      <c r="D417" s="94"/>
      <c r="E417" s="185"/>
      <c r="F417" s="186"/>
      <c r="G417" s="185"/>
      <c r="H417" s="94"/>
      <c r="I417" s="184"/>
      <c r="J417" s="94"/>
      <c r="K417" s="94"/>
      <c r="L417" s="94"/>
      <c r="M417" s="94"/>
      <c r="N417" s="94"/>
      <c r="O417" s="94"/>
      <c r="P417" s="94"/>
      <c r="Q417" s="187"/>
      <c r="R417" s="187"/>
      <c r="S417" s="187"/>
      <c r="T417" s="187"/>
      <c r="U417" s="183"/>
      <c r="V417" s="183"/>
      <c r="W417" s="183"/>
      <c r="X417" s="185"/>
      <c r="Y417" s="94"/>
      <c r="Z417" s="172"/>
      <c r="AA417" s="172"/>
      <c r="AB417" s="172"/>
      <c r="AC417" s="172"/>
      <c r="AD417" s="172"/>
      <c r="AE417" s="267"/>
      <c r="AF417" s="172"/>
      <c r="AG417" s="172"/>
      <c r="AH417" s="172"/>
      <c r="AI417" s="172"/>
      <c r="AJ417" s="172"/>
      <c r="AK417" s="172"/>
      <c r="AL417" s="172"/>
    </row>
    <row r="418" spans="1:38" ht="21" customHeight="1" x14ac:dyDescent="0.3">
      <c r="A418" s="172"/>
      <c r="B418" s="184"/>
      <c r="C418" s="94"/>
      <c r="D418" s="94"/>
      <c r="E418" s="185"/>
      <c r="F418" s="186"/>
      <c r="G418" s="185"/>
      <c r="H418" s="94"/>
      <c r="I418" s="184"/>
      <c r="J418" s="94"/>
      <c r="K418" s="94"/>
      <c r="L418" s="94"/>
      <c r="M418" s="94"/>
      <c r="N418" s="94"/>
      <c r="O418" s="94"/>
      <c r="P418" s="94"/>
      <c r="Q418" s="187"/>
      <c r="R418" s="187"/>
      <c r="S418" s="187"/>
      <c r="T418" s="187"/>
      <c r="U418" s="183"/>
      <c r="V418" s="183"/>
      <c r="W418" s="183"/>
      <c r="X418" s="185"/>
      <c r="Y418" s="94"/>
      <c r="Z418" s="172"/>
      <c r="AA418" s="172"/>
      <c r="AB418" s="172"/>
      <c r="AC418" s="172"/>
      <c r="AD418" s="172"/>
      <c r="AE418" s="267"/>
      <c r="AF418" s="172"/>
      <c r="AG418" s="172"/>
      <c r="AH418" s="172"/>
      <c r="AI418" s="172"/>
      <c r="AJ418" s="172"/>
      <c r="AK418" s="172"/>
      <c r="AL418" s="172"/>
    </row>
    <row r="419" spans="1:38" ht="21" customHeight="1" x14ac:dyDescent="0.3">
      <c r="A419" s="172"/>
      <c r="B419" s="184"/>
      <c r="C419" s="94"/>
      <c r="D419" s="94"/>
      <c r="E419" s="185"/>
      <c r="F419" s="186"/>
      <c r="G419" s="185"/>
      <c r="H419" s="94"/>
      <c r="I419" s="184"/>
      <c r="J419" s="94"/>
      <c r="K419" s="94"/>
      <c r="L419" s="94"/>
      <c r="M419" s="94"/>
      <c r="N419" s="94"/>
      <c r="O419" s="94"/>
      <c r="P419" s="94"/>
      <c r="Q419" s="187"/>
      <c r="R419" s="187"/>
      <c r="S419" s="187"/>
      <c r="T419" s="187"/>
      <c r="U419" s="183"/>
      <c r="V419" s="183"/>
      <c r="W419" s="183"/>
      <c r="X419" s="185"/>
      <c r="Y419" s="94"/>
      <c r="Z419" s="172"/>
      <c r="AA419" s="172"/>
      <c r="AB419" s="172"/>
      <c r="AC419" s="172"/>
      <c r="AD419" s="172"/>
      <c r="AE419" s="267"/>
      <c r="AF419" s="172"/>
      <c r="AG419" s="172"/>
      <c r="AH419" s="172"/>
      <c r="AI419" s="172"/>
      <c r="AJ419" s="172"/>
      <c r="AK419" s="172"/>
      <c r="AL419" s="172"/>
    </row>
    <row r="420" spans="1:38" ht="21" customHeight="1" x14ac:dyDescent="0.3">
      <c r="A420" s="172"/>
      <c r="B420" s="184"/>
      <c r="C420" s="94"/>
      <c r="D420" s="94"/>
      <c r="E420" s="185"/>
      <c r="F420" s="186"/>
      <c r="G420" s="185"/>
      <c r="H420" s="94"/>
      <c r="I420" s="184"/>
      <c r="J420" s="94"/>
      <c r="K420" s="94"/>
      <c r="L420" s="94"/>
      <c r="M420" s="94"/>
      <c r="N420" s="94"/>
      <c r="O420" s="94"/>
      <c r="P420" s="94"/>
      <c r="Q420" s="187"/>
      <c r="R420" s="187"/>
      <c r="S420" s="187"/>
      <c r="T420" s="187"/>
      <c r="U420" s="183"/>
      <c r="V420" s="183"/>
      <c r="W420" s="183"/>
      <c r="X420" s="185"/>
      <c r="Y420" s="94"/>
      <c r="Z420" s="172"/>
      <c r="AA420" s="172"/>
      <c r="AB420" s="172"/>
      <c r="AC420" s="172"/>
      <c r="AD420" s="172"/>
      <c r="AE420" s="267"/>
      <c r="AF420" s="172"/>
      <c r="AG420" s="172"/>
      <c r="AH420" s="172"/>
      <c r="AI420" s="172"/>
      <c r="AJ420" s="172"/>
      <c r="AK420" s="172"/>
      <c r="AL420" s="172"/>
    </row>
    <row r="421" spans="1:38" ht="21" customHeight="1" x14ac:dyDescent="0.3">
      <c r="A421" s="172"/>
      <c r="B421" s="184"/>
      <c r="C421" s="94"/>
      <c r="D421" s="94"/>
      <c r="E421" s="185"/>
      <c r="F421" s="186"/>
      <c r="G421" s="185"/>
      <c r="H421" s="94"/>
      <c r="I421" s="184"/>
      <c r="J421" s="94"/>
      <c r="K421" s="94"/>
      <c r="L421" s="94"/>
      <c r="M421" s="94"/>
      <c r="N421" s="94"/>
      <c r="O421" s="94"/>
      <c r="P421" s="94"/>
      <c r="Q421" s="187"/>
      <c r="R421" s="187"/>
      <c r="S421" s="187"/>
      <c r="T421" s="187"/>
      <c r="U421" s="183"/>
      <c r="V421" s="183"/>
      <c r="W421" s="183"/>
      <c r="X421" s="185"/>
      <c r="Y421" s="94"/>
      <c r="Z421" s="172"/>
      <c r="AA421" s="172"/>
      <c r="AB421" s="172"/>
      <c r="AC421" s="172"/>
      <c r="AD421" s="172"/>
      <c r="AE421" s="267"/>
      <c r="AF421" s="172"/>
      <c r="AG421" s="172"/>
      <c r="AH421" s="172"/>
      <c r="AI421" s="172"/>
      <c r="AJ421" s="172"/>
      <c r="AK421" s="172"/>
      <c r="AL421" s="172"/>
    </row>
    <row r="422" spans="1:38" ht="21" customHeight="1" x14ac:dyDescent="0.3">
      <c r="A422" s="172"/>
      <c r="B422" s="184"/>
      <c r="C422" s="94"/>
      <c r="D422" s="94"/>
      <c r="E422" s="185"/>
      <c r="F422" s="186"/>
      <c r="G422" s="185"/>
      <c r="H422" s="94"/>
      <c r="I422" s="184"/>
      <c r="J422" s="94"/>
      <c r="K422" s="94"/>
      <c r="L422" s="94"/>
      <c r="M422" s="94"/>
      <c r="N422" s="94"/>
      <c r="O422" s="94"/>
      <c r="P422" s="94"/>
      <c r="Q422" s="187"/>
      <c r="R422" s="187"/>
      <c r="S422" s="187"/>
      <c r="T422" s="187"/>
      <c r="U422" s="183"/>
      <c r="V422" s="183"/>
      <c r="W422" s="183"/>
      <c r="X422" s="185"/>
      <c r="Y422" s="94"/>
      <c r="Z422" s="172"/>
      <c r="AA422" s="172"/>
      <c r="AB422" s="172"/>
      <c r="AC422" s="172"/>
      <c r="AD422" s="172"/>
      <c r="AE422" s="267"/>
      <c r="AF422" s="172"/>
      <c r="AG422" s="172"/>
      <c r="AH422" s="172"/>
      <c r="AI422" s="172"/>
      <c r="AJ422" s="172"/>
      <c r="AK422" s="172"/>
      <c r="AL422" s="172"/>
    </row>
    <row r="423" spans="1:38" ht="21" customHeight="1" x14ac:dyDescent="0.3">
      <c r="A423" s="172"/>
      <c r="B423" s="184"/>
      <c r="C423" s="94"/>
      <c r="D423" s="94"/>
      <c r="E423" s="185"/>
      <c r="F423" s="186"/>
      <c r="G423" s="185"/>
      <c r="H423" s="94"/>
      <c r="I423" s="184"/>
      <c r="J423" s="94"/>
      <c r="K423" s="94"/>
      <c r="L423" s="94"/>
      <c r="M423" s="94"/>
      <c r="N423" s="94"/>
      <c r="O423" s="94"/>
      <c r="P423" s="94"/>
      <c r="Q423" s="187"/>
      <c r="R423" s="187"/>
      <c r="S423" s="187"/>
      <c r="T423" s="187"/>
      <c r="U423" s="183"/>
      <c r="V423" s="183"/>
      <c r="W423" s="183"/>
      <c r="X423" s="185"/>
      <c r="Y423" s="94"/>
      <c r="Z423" s="172"/>
      <c r="AA423" s="172"/>
      <c r="AB423" s="172"/>
      <c r="AC423" s="172"/>
      <c r="AD423" s="172"/>
      <c r="AE423" s="267"/>
      <c r="AF423" s="172"/>
      <c r="AG423" s="172"/>
      <c r="AH423" s="172"/>
      <c r="AI423" s="172"/>
      <c r="AJ423" s="172"/>
      <c r="AK423" s="172"/>
      <c r="AL423" s="172"/>
    </row>
    <row r="424" spans="1:38" ht="21" customHeight="1" x14ac:dyDescent="0.3">
      <c r="A424" s="172"/>
      <c r="B424" s="184"/>
      <c r="C424" s="94"/>
      <c r="D424" s="94"/>
      <c r="E424" s="185"/>
      <c r="F424" s="186"/>
      <c r="G424" s="185"/>
      <c r="H424" s="94"/>
      <c r="I424" s="184"/>
      <c r="J424" s="94"/>
      <c r="K424" s="94"/>
      <c r="L424" s="94"/>
      <c r="M424" s="94"/>
      <c r="N424" s="94"/>
      <c r="O424" s="94"/>
      <c r="P424" s="94"/>
      <c r="Q424" s="187"/>
      <c r="R424" s="187"/>
      <c r="S424" s="187"/>
      <c r="T424" s="187"/>
      <c r="U424" s="183"/>
      <c r="V424" s="183"/>
      <c r="W424" s="183"/>
      <c r="X424" s="185"/>
      <c r="Y424" s="94"/>
      <c r="Z424" s="172"/>
      <c r="AA424" s="172"/>
      <c r="AB424" s="172"/>
      <c r="AC424" s="172"/>
      <c r="AD424" s="172"/>
      <c r="AE424" s="267"/>
      <c r="AF424" s="172"/>
      <c r="AG424" s="172"/>
      <c r="AH424" s="172"/>
      <c r="AI424" s="172"/>
      <c r="AJ424" s="172"/>
      <c r="AK424" s="172"/>
      <c r="AL424" s="172"/>
    </row>
    <row r="425" spans="1:38" ht="21" customHeight="1" x14ac:dyDescent="0.3">
      <c r="A425" s="172"/>
      <c r="B425" s="184"/>
      <c r="C425" s="94"/>
      <c r="D425" s="94"/>
      <c r="E425" s="185"/>
      <c r="F425" s="186"/>
      <c r="G425" s="185"/>
      <c r="H425" s="94"/>
      <c r="I425" s="184"/>
      <c r="J425" s="94"/>
      <c r="K425" s="94"/>
      <c r="L425" s="94"/>
      <c r="M425" s="94"/>
      <c r="N425" s="94"/>
      <c r="O425" s="94"/>
      <c r="P425" s="94"/>
      <c r="Q425" s="187"/>
      <c r="R425" s="187"/>
      <c r="S425" s="187"/>
      <c r="T425" s="187"/>
      <c r="U425" s="183"/>
      <c r="V425" s="183"/>
      <c r="W425" s="183"/>
      <c r="X425" s="185"/>
      <c r="Y425" s="94"/>
      <c r="Z425" s="172"/>
      <c r="AA425" s="172"/>
      <c r="AB425" s="172"/>
      <c r="AC425" s="172"/>
      <c r="AD425" s="172"/>
      <c r="AE425" s="267"/>
      <c r="AF425" s="172"/>
      <c r="AG425" s="172"/>
      <c r="AH425" s="172"/>
      <c r="AI425" s="172"/>
      <c r="AJ425" s="172"/>
      <c r="AK425" s="172"/>
      <c r="AL425" s="172"/>
    </row>
    <row r="426" spans="1:38" ht="21" customHeight="1" x14ac:dyDescent="0.3">
      <c r="A426" s="172"/>
      <c r="B426" s="184"/>
      <c r="C426" s="94"/>
      <c r="D426" s="94"/>
      <c r="E426" s="185"/>
      <c r="F426" s="186"/>
      <c r="G426" s="185"/>
      <c r="H426" s="94"/>
      <c r="I426" s="184"/>
      <c r="J426" s="94"/>
      <c r="K426" s="94"/>
      <c r="L426" s="94"/>
      <c r="M426" s="94"/>
      <c r="N426" s="94"/>
      <c r="O426" s="94"/>
      <c r="P426" s="94"/>
      <c r="Q426" s="187"/>
      <c r="R426" s="187"/>
      <c r="S426" s="187"/>
      <c r="T426" s="187"/>
      <c r="U426" s="183"/>
      <c r="V426" s="183"/>
      <c r="W426" s="183"/>
      <c r="X426" s="185"/>
      <c r="Y426" s="94"/>
      <c r="Z426" s="172"/>
      <c r="AA426" s="172"/>
      <c r="AB426" s="172"/>
      <c r="AC426" s="172"/>
      <c r="AD426" s="172"/>
      <c r="AE426" s="267"/>
      <c r="AF426" s="172"/>
      <c r="AG426" s="172"/>
      <c r="AH426" s="172"/>
      <c r="AI426" s="172"/>
      <c r="AJ426" s="172"/>
      <c r="AK426" s="172"/>
      <c r="AL426" s="172"/>
    </row>
    <row r="427" spans="1:38" ht="21" customHeight="1" x14ac:dyDescent="0.3">
      <c r="A427" s="172"/>
      <c r="B427" s="184"/>
      <c r="C427" s="94"/>
      <c r="D427" s="94"/>
      <c r="E427" s="185"/>
      <c r="F427" s="186"/>
      <c r="G427" s="185"/>
      <c r="H427" s="94"/>
      <c r="I427" s="184"/>
      <c r="J427" s="94"/>
      <c r="K427" s="94"/>
      <c r="L427" s="94"/>
      <c r="M427" s="94"/>
      <c r="N427" s="94"/>
      <c r="O427" s="94"/>
      <c r="P427" s="94"/>
      <c r="Q427" s="187"/>
      <c r="R427" s="187"/>
      <c r="S427" s="187"/>
      <c r="T427" s="187"/>
      <c r="U427" s="183"/>
      <c r="V427" s="183"/>
      <c r="W427" s="183"/>
      <c r="X427" s="185"/>
      <c r="Y427" s="94"/>
      <c r="Z427" s="172"/>
      <c r="AA427" s="172"/>
      <c r="AB427" s="172"/>
      <c r="AC427" s="172"/>
      <c r="AD427" s="172"/>
      <c r="AE427" s="267"/>
      <c r="AF427" s="172"/>
      <c r="AG427" s="172"/>
      <c r="AH427" s="172"/>
      <c r="AI427" s="172"/>
      <c r="AJ427" s="172"/>
      <c r="AK427" s="172"/>
      <c r="AL427" s="172"/>
    </row>
    <row r="428" spans="1:38" ht="21" customHeight="1" x14ac:dyDescent="0.3">
      <c r="A428" s="172"/>
      <c r="B428" s="184"/>
      <c r="C428" s="94"/>
      <c r="D428" s="94"/>
      <c r="E428" s="185"/>
      <c r="F428" s="186"/>
      <c r="G428" s="185"/>
      <c r="H428" s="94"/>
      <c r="I428" s="184"/>
      <c r="J428" s="94"/>
      <c r="K428" s="94"/>
      <c r="L428" s="94"/>
      <c r="M428" s="94"/>
      <c r="N428" s="94"/>
      <c r="O428" s="94"/>
      <c r="P428" s="94"/>
      <c r="Q428" s="187"/>
      <c r="R428" s="187"/>
      <c r="S428" s="187"/>
      <c r="T428" s="187"/>
      <c r="U428" s="183"/>
      <c r="V428" s="183"/>
      <c r="W428" s="183"/>
      <c r="X428" s="185"/>
      <c r="Y428" s="94"/>
      <c r="Z428" s="172"/>
      <c r="AA428" s="172"/>
      <c r="AB428" s="172"/>
      <c r="AC428" s="172"/>
      <c r="AD428" s="172"/>
      <c r="AE428" s="267"/>
      <c r="AF428" s="172"/>
      <c r="AG428" s="172"/>
      <c r="AH428" s="172"/>
      <c r="AI428" s="172"/>
      <c r="AJ428" s="172"/>
      <c r="AK428" s="172"/>
      <c r="AL428" s="172"/>
    </row>
    <row r="429" spans="1:38" ht="21" customHeight="1" x14ac:dyDescent="0.3">
      <c r="A429" s="172"/>
      <c r="B429" s="184"/>
      <c r="C429" s="94"/>
      <c r="D429" s="94"/>
      <c r="E429" s="185"/>
      <c r="F429" s="186"/>
      <c r="G429" s="185"/>
      <c r="H429" s="94"/>
      <c r="I429" s="184"/>
      <c r="J429" s="94"/>
      <c r="K429" s="94"/>
      <c r="L429" s="94"/>
      <c r="M429" s="94"/>
      <c r="N429" s="94"/>
      <c r="O429" s="94"/>
      <c r="P429" s="94"/>
      <c r="Q429" s="187"/>
      <c r="R429" s="187"/>
      <c r="S429" s="187"/>
      <c r="T429" s="187"/>
      <c r="U429" s="183"/>
      <c r="V429" s="183"/>
      <c r="W429" s="183"/>
      <c r="X429" s="185"/>
      <c r="Y429" s="94"/>
      <c r="Z429" s="172"/>
      <c r="AA429" s="172"/>
      <c r="AB429" s="172"/>
      <c r="AC429" s="172"/>
      <c r="AD429" s="172"/>
      <c r="AE429" s="267"/>
      <c r="AF429" s="172"/>
      <c r="AG429" s="172"/>
      <c r="AH429" s="172"/>
      <c r="AI429" s="172"/>
      <c r="AJ429" s="172"/>
      <c r="AK429" s="172"/>
      <c r="AL429" s="172"/>
    </row>
    <row r="430" spans="1:38" ht="21" customHeight="1" x14ac:dyDescent="0.3">
      <c r="A430" s="172"/>
      <c r="B430" s="184"/>
      <c r="C430" s="94"/>
      <c r="D430" s="94"/>
      <c r="E430" s="185"/>
      <c r="F430" s="186"/>
      <c r="G430" s="185"/>
      <c r="H430" s="94"/>
      <c r="I430" s="184"/>
      <c r="J430" s="94"/>
      <c r="K430" s="94"/>
      <c r="L430" s="94"/>
      <c r="M430" s="94"/>
      <c r="N430" s="94"/>
      <c r="O430" s="94"/>
      <c r="P430" s="94"/>
      <c r="Q430" s="187"/>
      <c r="R430" s="187"/>
      <c r="S430" s="187"/>
      <c r="T430" s="187"/>
      <c r="U430" s="183"/>
      <c r="V430" s="183"/>
      <c r="W430" s="183"/>
      <c r="X430" s="185"/>
      <c r="Y430" s="94"/>
      <c r="Z430" s="172"/>
      <c r="AA430" s="172"/>
      <c r="AB430" s="172"/>
      <c r="AC430" s="172"/>
      <c r="AD430" s="172"/>
      <c r="AE430" s="267"/>
      <c r="AF430" s="172"/>
      <c r="AG430" s="172"/>
      <c r="AH430" s="172"/>
      <c r="AI430" s="172"/>
      <c r="AJ430" s="172"/>
      <c r="AK430" s="172"/>
      <c r="AL430" s="172"/>
    </row>
    <row r="431" spans="1:38" ht="21" customHeight="1" x14ac:dyDescent="0.3">
      <c r="A431" s="172"/>
      <c r="B431" s="184"/>
      <c r="C431" s="94"/>
      <c r="D431" s="94"/>
      <c r="E431" s="185"/>
      <c r="F431" s="186"/>
      <c r="G431" s="185"/>
      <c r="H431" s="94"/>
      <c r="I431" s="184"/>
      <c r="J431" s="94"/>
      <c r="K431" s="94"/>
      <c r="L431" s="94"/>
      <c r="M431" s="94"/>
      <c r="N431" s="94"/>
      <c r="O431" s="94"/>
      <c r="P431" s="94"/>
      <c r="Q431" s="187"/>
      <c r="R431" s="187"/>
      <c r="S431" s="187"/>
      <c r="T431" s="187"/>
      <c r="U431" s="183"/>
      <c r="V431" s="183"/>
      <c r="W431" s="183"/>
      <c r="X431" s="185"/>
      <c r="Y431" s="94"/>
      <c r="Z431" s="172"/>
      <c r="AA431" s="172"/>
      <c r="AB431" s="172"/>
      <c r="AC431" s="172"/>
      <c r="AD431" s="172"/>
      <c r="AE431" s="267"/>
      <c r="AF431" s="172"/>
      <c r="AG431" s="172"/>
      <c r="AH431" s="172"/>
      <c r="AI431" s="172"/>
      <c r="AJ431" s="172"/>
      <c r="AK431" s="172"/>
      <c r="AL431" s="172"/>
    </row>
    <row r="432" spans="1:38" ht="21" customHeight="1" x14ac:dyDescent="0.3">
      <c r="A432" s="172"/>
      <c r="B432" s="184"/>
      <c r="C432" s="94"/>
      <c r="D432" s="94"/>
      <c r="E432" s="185"/>
      <c r="F432" s="186"/>
      <c r="G432" s="185"/>
      <c r="H432" s="94"/>
      <c r="I432" s="184"/>
      <c r="J432" s="94"/>
      <c r="K432" s="94"/>
      <c r="L432" s="94"/>
      <c r="M432" s="94"/>
      <c r="N432" s="94"/>
      <c r="O432" s="94"/>
      <c r="P432" s="94"/>
      <c r="Q432" s="187"/>
      <c r="R432" s="187"/>
      <c r="S432" s="187"/>
      <c r="T432" s="187"/>
      <c r="U432" s="183"/>
      <c r="V432" s="183"/>
      <c r="W432" s="183"/>
      <c r="X432" s="185"/>
      <c r="Y432" s="94"/>
      <c r="Z432" s="172"/>
      <c r="AA432" s="172"/>
      <c r="AB432" s="172"/>
      <c r="AC432" s="172"/>
      <c r="AD432" s="172"/>
      <c r="AE432" s="267"/>
      <c r="AF432" s="172"/>
      <c r="AG432" s="172"/>
      <c r="AH432" s="172"/>
      <c r="AI432" s="172"/>
      <c r="AJ432" s="172"/>
      <c r="AK432" s="172"/>
      <c r="AL432" s="172"/>
    </row>
    <row r="433" spans="1:38" ht="21" customHeight="1" x14ac:dyDescent="0.3">
      <c r="A433" s="172"/>
      <c r="B433" s="184"/>
      <c r="C433" s="94"/>
      <c r="D433" s="94"/>
      <c r="E433" s="185"/>
      <c r="F433" s="186"/>
      <c r="G433" s="185"/>
      <c r="H433" s="94"/>
      <c r="I433" s="184"/>
      <c r="J433" s="94"/>
      <c r="K433" s="94"/>
      <c r="L433" s="94"/>
      <c r="M433" s="94"/>
      <c r="N433" s="94"/>
      <c r="O433" s="94"/>
      <c r="P433" s="94"/>
      <c r="Q433" s="187"/>
      <c r="R433" s="187"/>
      <c r="S433" s="187"/>
      <c r="T433" s="187"/>
      <c r="U433" s="183"/>
      <c r="V433" s="183"/>
      <c r="W433" s="183"/>
      <c r="X433" s="185"/>
      <c r="Y433" s="94"/>
      <c r="Z433" s="172"/>
      <c r="AA433" s="172"/>
      <c r="AB433" s="172"/>
      <c r="AC433" s="172"/>
      <c r="AD433" s="172"/>
      <c r="AE433" s="267"/>
      <c r="AF433" s="172"/>
      <c r="AG433" s="172"/>
      <c r="AH433" s="172"/>
      <c r="AI433" s="172"/>
      <c r="AJ433" s="172"/>
      <c r="AK433" s="172"/>
      <c r="AL433" s="172"/>
    </row>
    <row r="434" spans="1:38" ht="21" customHeight="1" x14ac:dyDescent="0.3">
      <c r="A434" s="172"/>
      <c r="B434" s="184"/>
      <c r="C434" s="94"/>
      <c r="D434" s="94"/>
      <c r="E434" s="185"/>
      <c r="F434" s="186"/>
      <c r="G434" s="185"/>
      <c r="H434" s="94"/>
      <c r="I434" s="184"/>
      <c r="J434" s="94"/>
      <c r="K434" s="94"/>
      <c r="L434" s="94"/>
      <c r="M434" s="94"/>
      <c r="N434" s="94"/>
      <c r="O434" s="94"/>
      <c r="P434" s="94"/>
      <c r="Q434" s="187"/>
      <c r="R434" s="187"/>
      <c r="S434" s="187"/>
      <c r="T434" s="187"/>
      <c r="U434" s="183"/>
      <c r="V434" s="183"/>
      <c r="W434" s="183"/>
      <c r="X434" s="185"/>
      <c r="Y434" s="94"/>
      <c r="Z434" s="172"/>
      <c r="AA434" s="172"/>
      <c r="AB434" s="172"/>
      <c r="AC434" s="172"/>
      <c r="AD434" s="172"/>
      <c r="AE434" s="267"/>
      <c r="AF434" s="172"/>
      <c r="AG434" s="172"/>
      <c r="AH434" s="172"/>
      <c r="AI434" s="172"/>
      <c r="AJ434" s="172"/>
      <c r="AK434" s="172"/>
      <c r="AL434" s="172"/>
    </row>
    <row r="435" spans="1:38" ht="21" customHeight="1" x14ac:dyDescent="0.3">
      <c r="A435" s="172"/>
      <c r="B435" s="184"/>
      <c r="C435" s="94"/>
      <c r="D435" s="94"/>
      <c r="E435" s="185"/>
      <c r="F435" s="186"/>
      <c r="G435" s="185"/>
      <c r="H435" s="94"/>
      <c r="I435" s="184"/>
      <c r="J435" s="94"/>
      <c r="K435" s="94"/>
      <c r="L435" s="94"/>
      <c r="M435" s="94"/>
      <c r="N435" s="94"/>
      <c r="O435" s="94"/>
      <c r="P435" s="94"/>
      <c r="Q435" s="187"/>
      <c r="R435" s="187"/>
      <c r="S435" s="187"/>
      <c r="T435" s="187"/>
      <c r="U435" s="183"/>
      <c r="V435" s="183"/>
      <c r="W435" s="183"/>
      <c r="X435" s="185"/>
      <c r="Y435" s="94"/>
      <c r="Z435" s="172"/>
      <c r="AA435" s="172"/>
      <c r="AB435" s="172"/>
      <c r="AC435" s="172"/>
      <c r="AD435" s="172"/>
      <c r="AE435" s="267"/>
      <c r="AF435" s="172"/>
      <c r="AG435" s="172"/>
      <c r="AH435" s="172"/>
      <c r="AI435" s="172"/>
      <c r="AJ435" s="172"/>
      <c r="AK435" s="172"/>
      <c r="AL435" s="172"/>
    </row>
    <row r="436" spans="1:38" ht="21" customHeight="1" x14ac:dyDescent="0.3">
      <c r="A436" s="172"/>
      <c r="B436" s="184"/>
      <c r="C436" s="94"/>
      <c r="D436" s="94"/>
      <c r="E436" s="185"/>
      <c r="F436" s="186"/>
      <c r="G436" s="185"/>
      <c r="H436" s="94"/>
      <c r="I436" s="184"/>
      <c r="J436" s="94"/>
      <c r="K436" s="94"/>
      <c r="L436" s="94"/>
      <c r="M436" s="94"/>
      <c r="N436" s="94"/>
      <c r="O436" s="94"/>
      <c r="P436" s="94"/>
      <c r="Q436" s="187"/>
      <c r="R436" s="187"/>
      <c r="S436" s="187"/>
      <c r="T436" s="187"/>
      <c r="U436" s="183"/>
      <c r="V436" s="183"/>
      <c r="W436" s="183"/>
      <c r="X436" s="185"/>
      <c r="Y436" s="94"/>
      <c r="Z436" s="172"/>
      <c r="AA436" s="172"/>
      <c r="AB436" s="172"/>
      <c r="AC436" s="172"/>
      <c r="AD436" s="172"/>
      <c r="AE436" s="267"/>
      <c r="AF436" s="172"/>
      <c r="AG436" s="172"/>
      <c r="AH436" s="172"/>
      <c r="AI436" s="172"/>
      <c r="AJ436" s="172"/>
      <c r="AK436" s="172"/>
      <c r="AL436" s="172"/>
    </row>
    <row r="437" spans="1:38" ht="21" customHeight="1" x14ac:dyDescent="0.3">
      <c r="A437" s="172"/>
      <c r="B437" s="184"/>
      <c r="C437" s="94"/>
      <c r="D437" s="94"/>
      <c r="E437" s="185"/>
      <c r="F437" s="186"/>
      <c r="G437" s="185"/>
      <c r="H437" s="94"/>
      <c r="I437" s="184"/>
      <c r="J437" s="94"/>
      <c r="K437" s="94"/>
      <c r="L437" s="94"/>
      <c r="M437" s="94"/>
      <c r="N437" s="94"/>
      <c r="O437" s="94"/>
      <c r="P437" s="94"/>
      <c r="Q437" s="187"/>
      <c r="R437" s="187"/>
      <c r="S437" s="187"/>
      <c r="T437" s="187"/>
      <c r="U437" s="183"/>
      <c r="V437" s="183"/>
      <c r="W437" s="183"/>
      <c r="X437" s="185"/>
      <c r="Y437" s="94"/>
      <c r="Z437" s="172"/>
      <c r="AA437" s="172"/>
      <c r="AB437" s="172"/>
      <c r="AC437" s="172"/>
      <c r="AD437" s="172"/>
      <c r="AE437" s="267"/>
      <c r="AF437" s="172"/>
      <c r="AG437" s="172"/>
      <c r="AH437" s="172"/>
      <c r="AI437" s="172"/>
      <c r="AJ437" s="172"/>
      <c r="AK437" s="172"/>
      <c r="AL437" s="172"/>
    </row>
    <row r="438" spans="1:38" ht="21" customHeight="1" x14ac:dyDescent="0.3">
      <c r="A438" s="172"/>
      <c r="B438" s="184"/>
      <c r="C438" s="94"/>
      <c r="D438" s="94"/>
      <c r="E438" s="185"/>
      <c r="F438" s="186"/>
      <c r="G438" s="185"/>
      <c r="H438" s="94"/>
      <c r="I438" s="184"/>
      <c r="J438" s="94"/>
      <c r="K438" s="94"/>
      <c r="L438" s="94"/>
      <c r="M438" s="94"/>
      <c r="N438" s="94"/>
      <c r="O438" s="94"/>
      <c r="P438" s="94"/>
      <c r="Q438" s="187"/>
      <c r="R438" s="187"/>
      <c r="S438" s="187"/>
      <c r="T438" s="187"/>
      <c r="U438" s="183"/>
      <c r="V438" s="183"/>
      <c r="W438" s="183"/>
      <c r="X438" s="185"/>
      <c r="Y438" s="94"/>
      <c r="Z438" s="172"/>
      <c r="AA438" s="172"/>
      <c r="AB438" s="172"/>
      <c r="AC438" s="172"/>
      <c r="AD438" s="172"/>
      <c r="AE438" s="267"/>
      <c r="AF438" s="172"/>
      <c r="AG438" s="172"/>
      <c r="AH438" s="172"/>
      <c r="AI438" s="172"/>
      <c r="AJ438" s="172"/>
      <c r="AK438" s="172"/>
      <c r="AL438" s="172"/>
    </row>
    <row r="439" spans="1:38" ht="21" customHeight="1" x14ac:dyDescent="0.3">
      <c r="A439" s="172"/>
      <c r="B439" s="184"/>
      <c r="C439" s="94"/>
      <c r="D439" s="94"/>
      <c r="E439" s="185"/>
      <c r="F439" s="186"/>
      <c r="G439" s="185"/>
      <c r="H439" s="94"/>
      <c r="I439" s="184"/>
      <c r="J439" s="94"/>
      <c r="K439" s="94"/>
      <c r="L439" s="94"/>
      <c r="M439" s="94"/>
      <c r="N439" s="94"/>
      <c r="O439" s="94"/>
      <c r="P439" s="94"/>
      <c r="Q439" s="187"/>
      <c r="R439" s="187"/>
      <c r="S439" s="187"/>
      <c r="T439" s="187"/>
      <c r="U439" s="183"/>
      <c r="V439" s="183"/>
      <c r="W439" s="183"/>
      <c r="X439" s="185"/>
      <c r="Y439" s="94"/>
      <c r="Z439" s="172"/>
      <c r="AA439" s="172"/>
      <c r="AB439" s="172"/>
      <c r="AC439" s="172"/>
      <c r="AD439" s="172"/>
      <c r="AE439" s="267"/>
      <c r="AF439" s="172"/>
      <c r="AG439" s="172"/>
      <c r="AH439" s="172"/>
      <c r="AI439" s="172"/>
      <c r="AJ439" s="172"/>
      <c r="AK439" s="172"/>
      <c r="AL439" s="172"/>
    </row>
    <row r="440" spans="1:38" ht="21" customHeight="1" x14ac:dyDescent="0.3">
      <c r="A440" s="172"/>
      <c r="B440" s="184"/>
      <c r="C440" s="94"/>
      <c r="D440" s="94"/>
      <c r="E440" s="185"/>
      <c r="F440" s="186"/>
      <c r="G440" s="185"/>
      <c r="H440" s="94"/>
      <c r="I440" s="184"/>
      <c r="J440" s="94"/>
      <c r="K440" s="94"/>
      <c r="L440" s="94"/>
      <c r="M440" s="94"/>
      <c r="N440" s="94"/>
      <c r="O440" s="94"/>
      <c r="P440" s="94"/>
      <c r="Q440" s="187"/>
      <c r="R440" s="187"/>
      <c r="S440" s="187"/>
      <c r="T440" s="187"/>
      <c r="U440" s="183"/>
      <c r="V440" s="183"/>
      <c r="W440" s="183"/>
      <c r="X440" s="185"/>
      <c r="Y440" s="94"/>
      <c r="Z440" s="172"/>
      <c r="AA440" s="172"/>
      <c r="AB440" s="172"/>
      <c r="AC440" s="172"/>
      <c r="AD440" s="172"/>
      <c r="AE440" s="267"/>
      <c r="AF440" s="172"/>
      <c r="AG440" s="172"/>
      <c r="AH440" s="172"/>
      <c r="AI440" s="172"/>
      <c r="AJ440" s="172"/>
      <c r="AK440" s="172"/>
      <c r="AL440" s="172"/>
    </row>
    <row r="441" spans="1:38" ht="21" customHeight="1" x14ac:dyDescent="0.3">
      <c r="A441" s="172"/>
      <c r="B441" s="184"/>
      <c r="C441" s="94"/>
      <c r="D441" s="94"/>
      <c r="E441" s="185"/>
      <c r="F441" s="186"/>
      <c r="G441" s="185"/>
      <c r="H441" s="94"/>
      <c r="I441" s="184"/>
      <c r="J441" s="94"/>
      <c r="K441" s="94"/>
      <c r="L441" s="94"/>
      <c r="M441" s="94"/>
      <c r="N441" s="94"/>
      <c r="O441" s="94"/>
      <c r="P441" s="94"/>
      <c r="Q441" s="187"/>
      <c r="R441" s="187"/>
      <c r="S441" s="187"/>
      <c r="T441" s="187"/>
      <c r="U441" s="183"/>
      <c r="V441" s="183"/>
      <c r="W441" s="183"/>
      <c r="X441" s="185"/>
      <c r="Y441" s="94"/>
      <c r="Z441" s="172"/>
      <c r="AA441" s="172"/>
      <c r="AB441" s="172"/>
      <c r="AC441" s="172"/>
      <c r="AD441" s="172"/>
      <c r="AE441" s="267"/>
      <c r="AF441" s="172"/>
      <c r="AG441" s="172"/>
      <c r="AH441" s="172"/>
      <c r="AI441" s="172"/>
      <c r="AJ441" s="172"/>
      <c r="AK441" s="172"/>
      <c r="AL441" s="172"/>
    </row>
    <row r="442" spans="1:38" ht="21" customHeight="1" x14ac:dyDescent="0.3">
      <c r="A442" s="172"/>
      <c r="B442" s="184"/>
      <c r="C442" s="94"/>
      <c r="D442" s="94"/>
      <c r="E442" s="185"/>
      <c r="F442" s="186"/>
      <c r="G442" s="185"/>
      <c r="H442" s="94"/>
      <c r="I442" s="184"/>
      <c r="J442" s="94"/>
      <c r="K442" s="94"/>
      <c r="L442" s="94"/>
      <c r="M442" s="94"/>
      <c r="N442" s="94"/>
      <c r="O442" s="94"/>
      <c r="P442" s="94"/>
      <c r="Q442" s="187"/>
      <c r="R442" s="187"/>
      <c r="S442" s="187"/>
      <c r="T442" s="187"/>
      <c r="U442" s="183"/>
      <c r="V442" s="183"/>
      <c r="W442" s="183"/>
      <c r="X442" s="185"/>
      <c r="Y442" s="94"/>
      <c r="Z442" s="172"/>
      <c r="AA442" s="172"/>
      <c r="AB442" s="172"/>
      <c r="AC442" s="172"/>
      <c r="AD442" s="172"/>
      <c r="AE442" s="267"/>
      <c r="AF442" s="172"/>
      <c r="AG442" s="172"/>
      <c r="AH442" s="172"/>
      <c r="AI442" s="172"/>
      <c r="AJ442" s="172"/>
      <c r="AK442" s="172"/>
      <c r="AL442" s="172"/>
    </row>
    <row r="443" spans="1:38" ht="21" customHeight="1" x14ac:dyDescent="0.3">
      <c r="A443" s="172"/>
      <c r="B443" s="184"/>
      <c r="C443" s="94"/>
      <c r="D443" s="94"/>
      <c r="E443" s="185"/>
      <c r="F443" s="186"/>
      <c r="G443" s="185"/>
      <c r="H443" s="94"/>
      <c r="I443" s="184"/>
      <c r="J443" s="94"/>
      <c r="K443" s="94"/>
      <c r="L443" s="94"/>
      <c r="M443" s="94"/>
      <c r="N443" s="94"/>
      <c r="O443" s="94"/>
      <c r="P443" s="94"/>
      <c r="Q443" s="187"/>
      <c r="R443" s="187"/>
      <c r="S443" s="187"/>
      <c r="T443" s="187"/>
      <c r="U443" s="183"/>
      <c r="V443" s="183"/>
      <c r="W443" s="183"/>
      <c r="X443" s="185"/>
      <c r="Y443" s="94"/>
      <c r="Z443" s="172"/>
      <c r="AA443" s="172"/>
      <c r="AB443" s="172"/>
      <c r="AC443" s="172"/>
      <c r="AD443" s="172"/>
      <c r="AE443" s="267"/>
      <c r="AF443" s="172"/>
      <c r="AG443" s="172"/>
      <c r="AH443" s="172"/>
      <c r="AI443" s="172"/>
      <c r="AJ443" s="172"/>
      <c r="AK443" s="172"/>
      <c r="AL443" s="172"/>
    </row>
    <row r="444" spans="1:38" ht="21" customHeight="1" x14ac:dyDescent="0.3">
      <c r="A444" s="172"/>
      <c r="B444" s="184"/>
      <c r="C444" s="94"/>
      <c r="D444" s="94"/>
      <c r="E444" s="185"/>
      <c r="F444" s="186"/>
      <c r="G444" s="185"/>
      <c r="H444" s="94"/>
      <c r="I444" s="184"/>
      <c r="J444" s="94"/>
      <c r="K444" s="94"/>
      <c r="L444" s="94"/>
      <c r="M444" s="94"/>
      <c r="N444" s="94"/>
      <c r="O444" s="94"/>
      <c r="P444" s="94"/>
      <c r="Q444" s="187"/>
      <c r="R444" s="187"/>
      <c r="S444" s="187"/>
      <c r="T444" s="187"/>
      <c r="U444" s="183"/>
      <c r="V444" s="183"/>
      <c r="W444" s="183"/>
      <c r="X444" s="185"/>
      <c r="Y444" s="94"/>
      <c r="Z444" s="172"/>
      <c r="AA444" s="172"/>
      <c r="AB444" s="172"/>
      <c r="AC444" s="172"/>
      <c r="AD444" s="172"/>
      <c r="AE444" s="267"/>
      <c r="AF444" s="172"/>
      <c r="AG444" s="172"/>
      <c r="AH444" s="172"/>
      <c r="AI444" s="172"/>
      <c r="AJ444" s="172"/>
      <c r="AK444" s="172"/>
      <c r="AL444" s="172"/>
    </row>
    <row r="445" spans="1:38" ht="21" customHeight="1" x14ac:dyDescent="0.3">
      <c r="A445" s="172"/>
      <c r="B445" s="184"/>
      <c r="C445" s="94"/>
      <c r="D445" s="94"/>
      <c r="E445" s="185"/>
      <c r="F445" s="186"/>
      <c r="G445" s="185"/>
      <c r="H445" s="94"/>
      <c r="I445" s="184"/>
      <c r="J445" s="94"/>
      <c r="K445" s="94"/>
      <c r="L445" s="94"/>
      <c r="M445" s="94"/>
      <c r="N445" s="94"/>
      <c r="O445" s="94"/>
      <c r="P445" s="94"/>
      <c r="Q445" s="187"/>
      <c r="R445" s="187"/>
      <c r="S445" s="187"/>
      <c r="T445" s="187"/>
      <c r="U445" s="183"/>
      <c r="V445" s="183"/>
      <c r="W445" s="183"/>
      <c r="X445" s="185"/>
      <c r="Y445" s="94"/>
      <c r="Z445" s="172"/>
      <c r="AA445" s="172"/>
      <c r="AB445" s="172"/>
      <c r="AC445" s="172"/>
      <c r="AD445" s="172"/>
      <c r="AE445" s="267"/>
      <c r="AF445" s="172"/>
      <c r="AG445" s="172"/>
      <c r="AH445" s="172"/>
      <c r="AI445" s="172"/>
      <c r="AJ445" s="172"/>
      <c r="AK445" s="172"/>
      <c r="AL445" s="172"/>
    </row>
    <row r="446" spans="1:38" ht="21" customHeight="1" x14ac:dyDescent="0.3">
      <c r="A446" s="172"/>
      <c r="B446" s="184"/>
      <c r="C446" s="94"/>
      <c r="D446" s="94"/>
      <c r="E446" s="185"/>
      <c r="F446" s="186"/>
      <c r="G446" s="185"/>
      <c r="H446" s="94"/>
      <c r="I446" s="184"/>
      <c r="J446" s="94"/>
      <c r="K446" s="94"/>
      <c r="L446" s="94"/>
      <c r="M446" s="94"/>
      <c r="N446" s="94"/>
      <c r="O446" s="94"/>
      <c r="P446" s="94"/>
      <c r="Q446" s="187"/>
      <c r="R446" s="187"/>
      <c r="S446" s="187"/>
      <c r="T446" s="187"/>
      <c r="U446" s="183"/>
      <c r="V446" s="183"/>
      <c r="W446" s="183"/>
      <c r="X446" s="185"/>
      <c r="Y446" s="94"/>
      <c r="Z446" s="172"/>
      <c r="AA446" s="172"/>
      <c r="AB446" s="172"/>
      <c r="AC446" s="172"/>
      <c r="AD446" s="172"/>
      <c r="AE446" s="267"/>
      <c r="AF446" s="172"/>
      <c r="AG446" s="172"/>
      <c r="AH446" s="172"/>
      <c r="AI446" s="172"/>
      <c r="AJ446" s="172"/>
      <c r="AK446" s="172"/>
      <c r="AL446" s="172"/>
    </row>
    <row r="447" spans="1:38" ht="21" customHeight="1" x14ac:dyDescent="0.3">
      <c r="A447" s="172"/>
      <c r="B447" s="184"/>
      <c r="C447" s="94"/>
      <c r="D447" s="94"/>
      <c r="E447" s="185"/>
      <c r="F447" s="186"/>
      <c r="G447" s="185"/>
      <c r="H447" s="94"/>
      <c r="I447" s="184"/>
      <c r="J447" s="94"/>
      <c r="K447" s="94"/>
      <c r="L447" s="94"/>
      <c r="M447" s="94"/>
      <c r="N447" s="94"/>
      <c r="O447" s="94"/>
      <c r="P447" s="94"/>
      <c r="Q447" s="187"/>
      <c r="R447" s="187"/>
      <c r="S447" s="187"/>
      <c r="T447" s="187"/>
      <c r="U447" s="183"/>
      <c r="V447" s="183"/>
      <c r="W447" s="183"/>
      <c r="X447" s="185"/>
      <c r="Y447" s="94"/>
      <c r="Z447" s="172"/>
      <c r="AA447" s="172"/>
      <c r="AB447" s="172"/>
      <c r="AC447" s="172"/>
      <c r="AD447" s="172"/>
      <c r="AE447" s="267"/>
      <c r="AF447" s="172"/>
      <c r="AG447" s="172"/>
      <c r="AH447" s="172"/>
      <c r="AI447" s="172"/>
      <c r="AJ447" s="172"/>
      <c r="AK447" s="172"/>
      <c r="AL447" s="172"/>
    </row>
    <row r="448" spans="1:38" ht="21" customHeight="1" x14ac:dyDescent="0.3">
      <c r="A448" s="172"/>
      <c r="B448" s="184"/>
      <c r="C448" s="94"/>
      <c r="D448" s="94"/>
      <c r="E448" s="185"/>
      <c r="F448" s="186"/>
      <c r="G448" s="185"/>
      <c r="H448" s="94"/>
      <c r="I448" s="184"/>
      <c r="J448" s="94"/>
      <c r="K448" s="94"/>
      <c r="L448" s="94"/>
      <c r="M448" s="94"/>
      <c r="N448" s="94"/>
      <c r="O448" s="94"/>
      <c r="P448" s="94"/>
      <c r="Q448" s="187"/>
      <c r="R448" s="187"/>
      <c r="S448" s="187"/>
      <c r="T448" s="187"/>
      <c r="U448" s="183"/>
      <c r="V448" s="183"/>
      <c r="W448" s="183"/>
      <c r="X448" s="185"/>
      <c r="Y448" s="94"/>
      <c r="Z448" s="172"/>
      <c r="AA448" s="172"/>
      <c r="AB448" s="172"/>
      <c r="AC448" s="172"/>
      <c r="AD448" s="172"/>
      <c r="AE448" s="267"/>
      <c r="AF448" s="172"/>
      <c r="AG448" s="172"/>
      <c r="AH448" s="172"/>
      <c r="AI448" s="172"/>
      <c r="AJ448" s="172"/>
      <c r="AK448" s="172"/>
      <c r="AL448" s="172"/>
    </row>
    <row r="449" spans="1:38" ht="21" customHeight="1" x14ac:dyDescent="0.3">
      <c r="A449" s="172"/>
      <c r="B449" s="184"/>
      <c r="C449" s="94"/>
      <c r="D449" s="94"/>
      <c r="E449" s="185"/>
      <c r="F449" s="186"/>
      <c r="G449" s="185"/>
      <c r="H449" s="94"/>
      <c r="I449" s="184"/>
      <c r="J449" s="94"/>
      <c r="K449" s="94"/>
      <c r="L449" s="94"/>
      <c r="M449" s="94"/>
      <c r="N449" s="94"/>
      <c r="O449" s="94"/>
      <c r="P449" s="94"/>
      <c r="Q449" s="187"/>
      <c r="R449" s="187"/>
      <c r="S449" s="187"/>
      <c r="T449" s="187"/>
      <c r="U449" s="183"/>
      <c r="V449" s="183"/>
      <c r="W449" s="183"/>
      <c r="X449" s="185"/>
      <c r="Y449" s="94"/>
      <c r="Z449" s="172"/>
      <c r="AA449" s="172"/>
      <c r="AB449" s="172"/>
      <c r="AC449" s="172"/>
      <c r="AD449" s="172"/>
      <c r="AE449" s="267"/>
      <c r="AF449" s="172"/>
      <c r="AG449" s="172"/>
      <c r="AH449" s="172"/>
      <c r="AI449" s="172"/>
      <c r="AJ449" s="172"/>
      <c r="AK449" s="172"/>
      <c r="AL449" s="172"/>
    </row>
    <row r="450" spans="1:38" ht="21" customHeight="1" x14ac:dyDescent="0.3">
      <c r="A450" s="172"/>
      <c r="B450" s="184"/>
      <c r="C450" s="94"/>
      <c r="D450" s="94"/>
      <c r="E450" s="185"/>
      <c r="F450" s="186"/>
      <c r="G450" s="185"/>
      <c r="H450" s="94"/>
      <c r="I450" s="184"/>
      <c r="J450" s="94"/>
      <c r="K450" s="94"/>
      <c r="L450" s="94"/>
      <c r="M450" s="94"/>
      <c r="N450" s="94"/>
      <c r="O450" s="94"/>
      <c r="P450" s="94"/>
      <c r="Q450" s="187"/>
      <c r="R450" s="187"/>
      <c r="S450" s="187"/>
      <c r="T450" s="187"/>
      <c r="U450" s="183"/>
      <c r="V450" s="183"/>
      <c r="W450" s="183"/>
      <c r="X450" s="185"/>
      <c r="Y450" s="94"/>
      <c r="Z450" s="172"/>
      <c r="AA450" s="172"/>
      <c r="AB450" s="172"/>
      <c r="AC450" s="172"/>
      <c r="AD450" s="172"/>
      <c r="AE450" s="267"/>
      <c r="AF450" s="172"/>
      <c r="AG450" s="172"/>
      <c r="AH450" s="172"/>
      <c r="AI450" s="172"/>
      <c r="AJ450" s="172"/>
      <c r="AK450" s="172"/>
      <c r="AL450" s="172"/>
    </row>
    <row r="451" spans="1:38" ht="21" customHeight="1" x14ac:dyDescent="0.3">
      <c r="A451" s="172"/>
      <c r="B451" s="184"/>
      <c r="C451" s="94"/>
      <c r="D451" s="94"/>
      <c r="E451" s="185"/>
      <c r="F451" s="186"/>
      <c r="G451" s="185"/>
      <c r="H451" s="94"/>
      <c r="I451" s="184"/>
      <c r="J451" s="94"/>
      <c r="K451" s="94"/>
      <c r="L451" s="94"/>
      <c r="M451" s="94"/>
      <c r="N451" s="94"/>
      <c r="O451" s="94"/>
      <c r="P451" s="94"/>
      <c r="Q451" s="187"/>
      <c r="R451" s="187"/>
      <c r="S451" s="187"/>
      <c r="T451" s="187"/>
      <c r="U451" s="183"/>
      <c r="V451" s="183"/>
      <c r="W451" s="183"/>
      <c r="X451" s="185"/>
      <c r="Y451" s="94"/>
      <c r="Z451" s="172"/>
      <c r="AA451" s="172"/>
      <c r="AB451" s="172"/>
      <c r="AC451" s="172"/>
      <c r="AD451" s="172"/>
      <c r="AE451" s="267"/>
      <c r="AF451" s="172"/>
      <c r="AG451" s="172"/>
      <c r="AH451" s="172"/>
      <c r="AI451" s="172"/>
      <c r="AJ451" s="172"/>
      <c r="AK451" s="172"/>
      <c r="AL451" s="172"/>
    </row>
    <row r="452" spans="1:38" ht="21" customHeight="1" x14ac:dyDescent="0.3">
      <c r="A452" s="172"/>
      <c r="B452" s="184"/>
      <c r="C452" s="94"/>
      <c r="D452" s="94"/>
      <c r="E452" s="185"/>
      <c r="F452" s="186"/>
      <c r="G452" s="185"/>
      <c r="H452" s="94"/>
      <c r="I452" s="184"/>
      <c r="J452" s="94"/>
      <c r="K452" s="94"/>
      <c r="L452" s="94"/>
      <c r="M452" s="94"/>
      <c r="N452" s="94"/>
      <c r="O452" s="94"/>
      <c r="P452" s="94"/>
      <c r="Q452" s="187"/>
      <c r="R452" s="187"/>
      <c r="S452" s="187"/>
      <c r="T452" s="187"/>
      <c r="U452" s="183"/>
      <c r="V452" s="183"/>
      <c r="W452" s="183"/>
      <c r="X452" s="185"/>
      <c r="Y452" s="94"/>
      <c r="Z452" s="172"/>
      <c r="AA452" s="172"/>
      <c r="AB452" s="172"/>
      <c r="AC452" s="172"/>
      <c r="AD452" s="172"/>
      <c r="AE452" s="267"/>
      <c r="AF452" s="172"/>
      <c r="AG452" s="172"/>
      <c r="AH452" s="172"/>
      <c r="AI452" s="172"/>
      <c r="AJ452" s="172"/>
      <c r="AK452" s="172"/>
      <c r="AL452" s="172"/>
    </row>
    <row r="453" spans="1:38" ht="21" customHeight="1" x14ac:dyDescent="0.3">
      <c r="A453" s="172"/>
      <c r="B453" s="184"/>
      <c r="C453" s="94"/>
      <c r="D453" s="94"/>
      <c r="E453" s="185"/>
      <c r="F453" s="186"/>
      <c r="G453" s="185"/>
      <c r="H453" s="94"/>
      <c r="I453" s="184"/>
      <c r="J453" s="94"/>
      <c r="K453" s="94"/>
      <c r="L453" s="94"/>
      <c r="M453" s="94"/>
      <c r="N453" s="94"/>
      <c r="O453" s="94"/>
      <c r="P453" s="94"/>
      <c r="Q453" s="187"/>
      <c r="R453" s="187"/>
      <c r="S453" s="187"/>
      <c r="T453" s="187"/>
      <c r="U453" s="183"/>
      <c r="V453" s="183"/>
      <c r="W453" s="183"/>
      <c r="X453" s="185"/>
      <c r="Y453" s="94"/>
      <c r="Z453" s="172"/>
      <c r="AA453" s="172"/>
      <c r="AB453" s="172"/>
      <c r="AC453" s="172"/>
      <c r="AD453" s="172"/>
      <c r="AE453" s="267"/>
      <c r="AF453" s="172"/>
      <c r="AG453" s="172"/>
      <c r="AH453" s="172"/>
      <c r="AI453" s="172"/>
      <c r="AJ453" s="172"/>
      <c r="AK453" s="172"/>
      <c r="AL453" s="172"/>
    </row>
    <row r="454" spans="1:38" ht="21" customHeight="1" x14ac:dyDescent="0.3">
      <c r="A454" s="172"/>
      <c r="B454" s="184"/>
      <c r="C454" s="94"/>
      <c r="D454" s="94"/>
      <c r="E454" s="185"/>
      <c r="F454" s="186"/>
      <c r="G454" s="185"/>
      <c r="H454" s="94"/>
      <c r="I454" s="184"/>
      <c r="J454" s="94"/>
      <c r="K454" s="94"/>
      <c r="L454" s="94"/>
      <c r="M454" s="94"/>
      <c r="N454" s="94"/>
      <c r="O454" s="94"/>
      <c r="P454" s="94"/>
      <c r="Q454" s="187"/>
      <c r="R454" s="187"/>
      <c r="S454" s="187"/>
      <c r="T454" s="187"/>
      <c r="U454" s="183"/>
      <c r="V454" s="183"/>
      <c r="W454" s="183"/>
      <c r="X454" s="185"/>
      <c r="Y454" s="94"/>
      <c r="Z454" s="172"/>
      <c r="AA454" s="172"/>
      <c r="AB454" s="172"/>
      <c r="AC454" s="172"/>
      <c r="AD454" s="172"/>
      <c r="AE454" s="267"/>
      <c r="AF454" s="172"/>
      <c r="AG454" s="172"/>
      <c r="AH454" s="172"/>
      <c r="AI454" s="172"/>
      <c r="AJ454" s="172"/>
      <c r="AK454" s="172"/>
      <c r="AL454" s="172"/>
    </row>
    <row r="455" spans="1:38" ht="21" customHeight="1" x14ac:dyDescent="0.3">
      <c r="A455" s="172"/>
      <c r="B455" s="184"/>
      <c r="C455" s="94"/>
      <c r="D455" s="94"/>
      <c r="E455" s="185"/>
      <c r="F455" s="186"/>
      <c r="G455" s="185"/>
      <c r="H455" s="94"/>
      <c r="I455" s="184"/>
      <c r="J455" s="94"/>
      <c r="K455" s="94"/>
      <c r="L455" s="94"/>
      <c r="M455" s="94"/>
      <c r="N455" s="94"/>
      <c r="O455" s="94"/>
      <c r="P455" s="94"/>
      <c r="Q455" s="187"/>
      <c r="R455" s="187"/>
      <c r="S455" s="187"/>
      <c r="T455" s="187"/>
      <c r="U455" s="183"/>
      <c r="V455" s="183"/>
      <c r="W455" s="183"/>
      <c r="X455" s="185"/>
      <c r="Y455" s="94"/>
      <c r="Z455" s="172"/>
      <c r="AA455" s="172"/>
      <c r="AB455" s="172"/>
      <c r="AC455" s="172"/>
      <c r="AD455" s="172"/>
      <c r="AE455" s="267"/>
      <c r="AF455" s="172"/>
      <c r="AG455" s="172"/>
      <c r="AH455" s="172"/>
      <c r="AI455" s="172"/>
      <c r="AJ455" s="172"/>
      <c r="AK455" s="172"/>
      <c r="AL455" s="172"/>
    </row>
    <row r="456" spans="1:38" ht="21" customHeight="1" x14ac:dyDescent="0.3">
      <c r="A456" s="172"/>
      <c r="B456" s="184"/>
      <c r="C456" s="94"/>
      <c r="D456" s="94"/>
      <c r="E456" s="185"/>
      <c r="F456" s="186"/>
      <c r="G456" s="185"/>
      <c r="H456" s="94"/>
      <c r="I456" s="184"/>
      <c r="J456" s="94"/>
      <c r="K456" s="94"/>
      <c r="L456" s="94"/>
      <c r="M456" s="94"/>
      <c r="N456" s="94"/>
      <c r="O456" s="94"/>
      <c r="P456" s="94"/>
      <c r="Q456" s="187"/>
      <c r="R456" s="187"/>
      <c r="S456" s="187"/>
      <c r="T456" s="187"/>
      <c r="U456" s="183"/>
      <c r="V456" s="183"/>
      <c r="W456" s="183"/>
      <c r="X456" s="185"/>
      <c r="Y456" s="94"/>
      <c r="Z456" s="172"/>
      <c r="AA456" s="172"/>
      <c r="AB456" s="172"/>
      <c r="AC456" s="172"/>
      <c r="AD456" s="172"/>
      <c r="AE456" s="267"/>
      <c r="AF456" s="172"/>
      <c r="AG456" s="172"/>
      <c r="AH456" s="172"/>
      <c r="AI456" s="172"/>
      <c r="AJ456" s="172"/>
      <c r="AK456" s="172"/>
      <c r="AL456" s="172"/>
    </row>
    <row r="457" spans="1:38" ht="21" customHeight="1" x14ac:dyDescent="0.3">
      <c r="A457" s="172"/>
      <c r="B457" s="184"/>
      <c r="C457" s="94"/>
      <c r="D457" s="94"/>
      <c r="E457" s="185"/>
      <c r="F457" s="186"/>
      <c r="G457" s="185"/>
      <c r="H457" s="94"/>
      <c r="I457" s="184"/>
      <c r="J457" s="94"/>
      <c r="K457" s="94"/>
      <c r="L457" s="94"/>
      <c r="M457" s="94"/>
      <c r="N457" s="94"/>
      <c r="O457" s="94"/>
      <c r="P457" s="94"/>
      <c r="Q457" s="187"/>
      <c r="R457" s="187"/>
      <c r="S457" s="187"/>
      <c r="T457" s="187"/>
      <c r="U457" s="183"/>
      <c r="V457" s="183"/>
      <c r="W457" s="183"/>
      <c r="X457" s="185"/>
      <c r="Y457" s="94"/>
      <c r="Z457" s="172"/>
      <c r="AA457" s="172"/>
      <c r="AB457" s="172"/>
      <c r="AC457" s="172"/>
      <c r="AD457" s="172"/>
      <c r="AE457" s="267"/>
      <c r="AF457" s="172"/>
      <c r="AG457" s="172"/>
      <c r="AH457" s="172"/>
      <c r="AI457" s="172"/>
      <c r="AJ457" s="172"/>
      <c r="AK457" s="172"/>
      <c r="AL457" s="172"/>
    </row>
    <row r="458" spans="1:38" ht="21" customHeight="1" x14ac:dyDescent="0.3">
      <c r="A458" s="172"/>
      <c r="B458" s="184"/>
      <c r="C458" s="94"/>
      <c r="D458" s="94"/>
      <c r="E458" s="185"/>
      <c r="F458" s="186"/>
      <c r="G458" s="185"/>
      <c r="H458" s="94"/>
      <c r="I458" s="184"/>
      <c r="J458" s="94"/>
      <c r="K458" s="94"/>
      <c r="L458" s="94"/>
      <c r="M458" s="94"/>
      <c r="N458" s="94"/>
      <c r="O458" s="94"/>
      <c r="P458" s="94"/>
      <c r="Q458" s="187"/>
      <c r="R458" s="187"/>
      <c r="S458" s="187"/>
      <c r="T458" s="187"/>
      <c r="U458" s="183"/>
      <c r="V458" s="183"/>
      <c r="W458" s="183"/>
      <c r="X458" s="185"/>
      <c r="Y458" s="94"/>
      <c r="Z458" s="172"/>
      <c r="AA458" s="172"/>
      <c r="AB458" s="172"/>
      <c r="AC458" s="172"/>
      <c r="AD458" s="172"/>
      <c r="AE458" s="267"/>
      <c r="AF458" s="172"/>
      <c r="AG458" s="172"/>
      <c r="AH458" s="172"/>
      <c r="AI458" s="172"/>
      <c r="AJ458" s="172"/>
      <c r="AK458" s="172"/>
      <c r="AL458" s="172"/>
    </row>
    <row r="459" spans="1:38" ht="21" customHeight="1" x14ac:dyDescent="0.3">
      <c r="A459" s="172"/>
      <c r="B459" s="184"/>
      <c r="C459" s="94"/>
      <c r="D459" s="94"/>
      <c r="E459" s="185"/>
      <c r="F459" s="186"/>
      <c r="G459" s="185"/>
      <c r="H459" s="94"/>
      <c r="I459" s="184"/>
      <c r="J459" s="94"/>
      <c r="K459" s="94"/>
      <c r="L459" s="94"/>
      <c r="M459" s="94"/>
      <c r="N459" s="94"/>
      <c r="O459" s="94"/>
      <c r="P459" s="94"/>
      <c r="Q459" s="187"/>
      <c r="R459" s="187"/>
      <c r="S459" s="187"/>
      <c r="T459" s="187"/>
      <c r="U459" s="183"/>
      <c r="V459" s="183"/>
      <c r="W459" s="183"/>
      <c r="X459" s="185"/>
      <c r="Y459" s="94"/>
      <c r="Z459" s="172"/>
      <c r="AA459" s="172"/>
      <c r="AB459" s="172"/>
      <c r="AC459" s="172"/>
      <c r="AD459" s="172"/>
      <c r="AE459" s="267"/>
      <c r="AF459" s="172"/>
      <c r="AG459" s="172"/>
      <c r="AH459" s="172"/>
      <c r="AI459" s="172"/>
      <c r="AJ459" s="172"/>
      <c r="AK459" s="172"/>
      <c r="AL459" s="172"/>
    </row>
    <row r="460" spans="1:38" ht="21" customHeight="1" x14ac:dyDescent="0.3">
      <c r="A460" s="172"/>
      <c r="B460" s="184"/>
      <c r="C460" s="94"/>
      <c r="D460" s="94"/>
      <c r="E460" s="185"/>
      <c r="F460" s="186"/>
      <c r="G460" s="185"/>
      <c r="H460" s="94"/>
      <c r="I460" s="184"/>
      <c r="J460" s="94"/>
      <c r="K460" s="94"/>
      <c r="L460" s="94"/>
      <c r="M460" s="94"/>
      <c r="N460" s="94"/>
      <c r="O460" s="94"/>
      <c r="P460" s="94"/>
      <c r="Q460" s="187"/>
      <c r="R460" s="187"/>
      <c r="S460" s="187"/>
      <c r="T460" s="187"/>
      <c r="U460" s="183"/>
      <c r="V460" s="183"/>
      <c r="W460" s="183"/>
      <c r="X460" s="185"/>
      <c r="Y460" s="94"/>
      <c r="Z460" s="172"/>
      <c r="AA460" s="172"/>
      <c r="AB460" s="172"/>
      <c r="AC460" s="172"/>
      <c r="AD460" s="172"/>
      <c r="AE460" s="267"/>
      <c r="AF460" s="172"/>
      <c r="AG460" s="172"/>
      <c r="AH460" s="172"/>
      <c r="AI460" s="172"/>
      <c r="AJ460" s="172"/>
      <c r="AK460" s="172"/>
      <c r="AL460" s="172"/>
    </row>
    <row r="461" spans="1:38" ht="21" customHeight="1" x14ac:dyDescent="0.3">
      <c r="A461" s="172"/>
      <c r="B461" s="184"/>
      <c r="C461" s="94"/>
      <c r="D461" s="94"/>
      <c r="E461" s="185"/>
      <c r="F461" s="186"/>
      <c r="G461" s="185"/>
      <c r="H461" s="94"/>
      <c r="I461" s="184"/>
      <c r="J461" s="94"/>
      <c r="K461" s="94"/>
      <c r="L461" s="94"/>
      <c r="M461" s="94"/>
      <c r="N461" s="94"/>
      <c r="O461" s="94"/>
      <c r="P461" s="94"/>
      <c r="Q461" s="187"/>
      <c r="R461" s="187"/>
      <c r="S461" s="187"/>
      <c r="T461" s="187"/>
      <c r="U461" s="183"/>
      <c r="V461" s="183"/>
      <c r="W461" s="183"/>
      <c r="X461" s="185"/>
      <c r="Y461" s="94"/>
      <c r="Z461" s="172"/>
      <c r="AA461" s="172"/>
      <c r="AB461" s="172"/>
      <c r="AC461" s="172"/>
      <c r="AD461" s="172"/>
      <c r="AE461" s="267"/>
      <c r="AF461" s="172"/>
      <c r="AG461" s="172"/>
      <c r="AH461" s="172"/>
      <c r="AI461" s="172"/>
      <c r="AJ461" s="172"/>
      <c r="AK461" s="172"/>
      <c r="AL461" s="172"/>
    </row>
    <row r="462" spans="1:38" ht="21" customHeight="1" x14ac:dyDescent="0.3">
      <c r="A462" s="172"/>
      <c r="B462" s="184"/>
      <c r="C462" s="94"/>
      <c r="D462" s="94"/>
      <c r="E462" s="185"/>
      <c r="F462" s="186"/>
      <c r="G462" s="185"/>
      <c r="H462" s="94"/>
      <c r="I462" s="184"/>
      <c r="J462" s="94"/>
      <c r="K462" s="94"/>
      <c r="L462" s="94"/>
      <c r="M462" s="94"/>
      <c r="N462" s="94"/>
      <c r="O462" s="94"/>
      <c r="P462" s="94"/>
      <c r="Q462" s="187"/>
      <c r="R462" s="187"/>
      <c r="S462" s="187"/>
      <c r="T462" s="187"/>
      <c r="U462" s="183"/>
      <c r="V462" s="183"/>
      <c r="W462" s="183"/>
      <c r="X462" s="185"/>
      <c r="Y462" s="94"/>
      <c r="Z462" s="172"/>
      <c r="AA462" s="172"/>
      <c r="AB462" s="172"/>
      <c r="AC462" s="172"/>
      <c r="AD462" s="172"/>
      <c r="AE462" s="267"/>
      <c r="AF462" s="172"/>
      <c r="AG462" s="172"/>
      <c r="AH462" s="172"/>
      <c r="AI462" s="172"/>
      <c r="AJ462" s="172"/>
      <c r="AK462" s="172"/>
      <c r="AL462" s="172"/>
    </row>
    <row r="463" spans="1:38" ht="21" customHeight="1" x14ac:dyDescent="0.3">
      <c r="A463" s="172"/>
      <c r="B463" s="184"/>
      <c r="C463" s="94"/>
      <c r="D463" s="94"/>
      <c r="E463" s="185"/>
      <c r="F463" s="186"/>
      <c r="G463" s="185"/>
      <c r="H463" s="94"/>
      <c r="I463" s="184"/>
      <c r="J463" s="94"/>
      <c r="K463" s="94"/>
      <c r="L463" s="94"/>
      <c r="M463" s="94"/>
      <c r="N463" s="94"/>
      <c r="O463" s="94"/>
      <c r="P463" s="94"/>
      <c r="Q463" s="187"/>
      <c r="R463" s="187"/>
      <c r="S463" s="187"/>
      <c r="T463" s="187"/>
      <c r="U463" s="183"/>
      <c r="V463" s="183"/>
      <c r="W463" s="183"/>
      <c r="X463" s="185"/>
      <c r="Y463" s="94"/>
      <c r="Z463" s="172"/>
      <c r="AA463" s="172"/>
      <c r="AB463" s="172"/>
      <c r="AC463" s="172"/>
      <c r="AD463" s="172"/>
      <c r="AE463" s="267"/>
      <c r="AF463" s="172"/>
      <c r="AG463" s="172"/>
      <c r="AH463" s="172"/>
      <c r="AI463" s="172"/>
      <c r="AJ463" s="172"/>
      <c r="AK463" s="172"/>
      <c r="AL463" s="172"/>
    </row>
    <row r="464" spans="1:38" ht="21" customHeight="1" x14ac:dyDescent="0.3">
      <c r="A464" s="172"/>
      <c r="B464" s="184"/>
      <c r="C464" s="94"/>
      <c r="D464" s="94"/>
      <c r="E464" s="185"/>
      <c r="F464" s="186"/>
      <c r="G464" s="185"/>
      <c r="H464" s="94"/>
      <c r="I464" s="184"/>
      <c r="J464" s="94"/>
      <c r="K464" s="94"/>
      <c r="L464" s="94"/>
      <c r="M464" s="94"/>
      <c r="N464" s="94"/>
      <c r="O464" s="94"/>
      <c r="P464" s="94"/>
      <c r="Q464" s="187"/>
      <c r="R464" s="187"/>
      <c r="S464" s="187"/>
      <c r="T464" s="187"/>
      <c r="U464" s="183"/>
      <c r="V464" s="183"/>
      <c r="W464" s="183"/>
      <c r="X464" s="185"/>
      <c r="Y464" s="94"/>
      <c r="Z464" s="172"/>
      <c r="AA464" s="172"/>
      <c r="AB464" s="172"/>
      <c r="AC464" s="172"/>
      <c r="AD464" s="172"/>
      <c r="AE464" s="267"/>
      <c r="AF464" s="172"/>
      <c r="AG464" s="172"/>
      <c r="AH464" s="172"/>
      <c r="AI464" s="172"/>
      <c r="AJ464" s="172"/>
      <c r="AK464" s="172"/>
      <c r="AL464" s="172"/>
    </row>
    <row r="465" spans="1:38" ht="21" customHeight="1" x14ac:dyDescent="0.3">
      <c r="A465" s="172"/>
      <c r="B465" s="184"/>
      <c r="C465" s="94"/>
      <c r="D465" s="94"/>
      <c r="E465" s="185"/>
      <c r="F465" s="186"/>
      <c r="G465" s="185"/>
      <c r="H465" s="94"/>
      <c r="I465" s="184"/>
      <c r="J465" s="94"/>
      <c r="K465" s="94"/>
      <c r="L465" s="94"/>
      <c r="M465" s="94"/>
      <c r="N465" s="94"/>
      <c r="O465" s="94"/>
      <c r="P465" s="94"/>
      <c r="Q465" s="187"/>
      <c r="R465" s="187"/>
      <c r="S465" s="187"/>
      <c r="T465" s="187"/>
      <c r="U465" s="183"/>
      <c r="V465" s="183"/>
      <c r="W465" s="183"/>
      <c r="X465" s="185"/>
      <c r="Y465" s="94"/>
      <c r="Z465" s="172"/>
      <c r="AA465" s="172"/>
      <c r="AB465" s="172"/>
      <c r="AC465" s="172"/>
      <c r="AD465" s="172"/>
      <c r="AE465" s="267"/>
      <c r="AF465" s="172"/>
      <c r="AG465" s="172"/>
      <c r="AH465" s="172"/>
      <c r="AI465" s="172"/>
      <c r="AJ465" s="172"/>
      <c r="AK465" s="172"/>
      <c r="AL465" s="172"/>
    </row>
    <row r="466" spans="1:38" ht="21" customHeight="1" x14ac:dyDescent="0.3">
      <c r="A466" s="172"/>
      <c r="B466" s="184"/>
      <c r="C466" s="94"/>
      <c r="D466" s="94"/>
      <c r="E466" s="185"/>
      <c r="F466" s="186"/>
      <c r="G466" s="185"/>
      <c r="H466" s="94"/>
      <c r="I466" s="184"/>
      <c r="J466" s="94"/>
      <c r="K466" s="94"/>
      <c r="L466" s="94"/>
      <c r="M466" s="94"/>
      <c r="N466" s="94"/>
      <c r="O466" s="94"/>
      <c r="P466" s="94"/>
      <c r="Q466" s="187"/>
      <c r="R466" s="187"/>
      <c r="S466" s="187"/>
      <c r="T466" s="187"/>
      <c r="U466" s="183"/>
      <c r="V466" s="183"/>
      <c r="W466" s="183"/>
      <c r="X466" s="185"/>
      <c r="Y466" s="94"/>
      <c r="Z466" s="172"/>
      <c r="AA466" s="172"/>
      <c r="AB466" s="172"/>
      <c r="AC466" s="172"/>
      <c r="AD466" s="172"/>
      <c r="AE466" s="267"/>
      <c r="AF466" s="172"/>
      <c r="AG466" s="172"/>
      <c r="AH466" s="172"/>
      <c r="AI466" s="172"/>
      <c r="AJ466" s="172"/>
      <c r="AK466" s="172"/>
      <c r="AL466" s="172"/>
    </row>
    <row r="467" spans="1:38" ht="21" customHeight="1" x14ac:dyDescent="0.3">
      <c r="A467" s="172"/>
      <c r="B467" s="184"/>
      <c r="C467" s="94"/>
      <c r="D467" s="94"/>
      <c r="E467" s="185"/>
      <c r="F467" s="186"/>
      <c r="G467" s="185"/>
      <c r="H467" s="94"/>
      <c r="I467" s="184"/>
      <c r="J467" s="94"/>
      <c r="K467" s="94"/>
      <c r="L467" s="94"/>
      <c r="M467" s="94"/>
      <c r="N467" s="94"/>
      <c r="O467" s="94"/>
      <c r="P467" s="94"/>
      <c r="Q467" s="187"/>
      <c r="R467" s="187"/>
      <c r="S467" s="187"/>
      <c r="T467" s="187"/>
      <c r="U467" s="183"/>
      <c r="V467" s="183"/>
      <c r="W467" s="183"/>
      <c r="X467" s="185"/>
      <c r="Y467" s="94"/>
      <c r="Z467" s="172"/>
      <c r="AA467" s="172"/>
      <c r="AB467" s="172"/>
      <c r="AC467" s="172"/>
      <c r="AD467" s="172"/>
      <c r="AE467" s="267"/>
      <c r="AF467" s="172"/>
      <c r="AG467" s="172"/>
      <c r="AH467" s="172"/>
      <c r="AI467" s="172"/>
      <c r="AJ467" s="172"/>
      <c r="AK467" s="172"/>
      <c r="AL467" s="172"/>
    </row>
    <row r="468" spans="1:38" ht="21" customHeight="1" x14ac:dyDescent="0.3">
      <c r="A468" s="172"/>
      <c r="B468" s="184"/>
      <c r="C468" s="94"/>
      <c r="D468" s="94"/>
      <c r="E468" s="185"/>
      <c r="F468" s="186"/>
      <c r="G468" s="185"/>
      <c r="H468" s="94"/>
      <c r="I468" s="184"/>
      <c r="J468" s="94"/>
      <c r="K468" s="94"/>
      <c r="L468" s="94"/>
      <c r="M468" s="94"/>
      <c r="N468" s="94"/>
      <c r="O468" s="94"/>
      <c r="P468" s="94"/>
      <c r="Q468" s="187"/>
      <c r="R468" s="187"/>
      <c r="S468" s="187"/>
      <c r="T468" s="187"/>
      <c r="U468" s="183"/>
      <c r="V468" s="183"/>
      <c r="W468" s="183"/>
      <c r="X468" s="185"/>
      <c r="Y468" s="94"/>
      <c r="Z468" s="172"/>
      <c r="AA468" s="172"/>
      <c r="AB468" s="172"/>
      <c r="AC468" s="172"/>
      <c r="AD468" s="172"/>
      <c r="AE468" s="267"/>
      <c r="AF468" s="172"/>
      <c r="AG468" s="172"/>
      <c r="AH468" s="172"/>
      <c r="AI468" s="172"/>
      <c r="AJ468" s="172"/>
      <c r="AK468" s="172"/>
      <c r="AL468" s="172"/>
    </row>
    <row r="469" spans="1:38" ht="21" customHeight="1" x14ac:dyDescent="0.3">
      <c r="A469" s="172"/>
      <c r="B469" s="184"/>
      <c r="C469" s="94"/>
      <c r="D469" s="94"/>
      <c r="E469" s="185"/>
      <c r="F469" s="186"/>
      <c r="G469" s="185"/>
      <c r="H469" s="94"/>
      <c r="I469" s="184"/>
      <c r="J469" s="94"/>
      <c r="K469" s="94"/>
      <c r="L469" s="94"/>
      <c r="M469" s="94"/>
      <c r="N469" s="94"/>
      <c r="O469" s="94"/>
      <c r="P469" s="94"/>
      <c r="Q469" s="187"/>
      <c r="R469" s="187"/>
      <c r="S469" s="187"/>
      <c r="T469" s="187"/>
      <c r="U469" s="183"/>
      <c r="V469" s="183"/>
      <c r="W469" s="183"/>
      <c r="X469" s="185"/>
      <c r="Y469" s="94"/>
      <c r="Z469" s="172"/>
      <c r="AA469" s="172"/>
      <c r="AB469" s="172"/>
      <c r="AC469" s="172"/>
      <c r="AD469" s="172"/>
      <c r="AE469" s="267"/>
      <c r="AF469" s="172"/>
      <c r="AG469" s="172"/>
      <c r="AH469" s="172"/>
      <c r="AI469" s="172"/>
      <c r="AJ469" s="172"/>
      <c r="AK469" s="172"/>
      <c r="AL469" s="172"/>
    </row>
    <row r="470" spans="1:38" ht="21" customHeight="1" x14ac:dyDescent="0.3">
      <c r="A470" s="172"/>
      <c r="B470" s="184"/>
      <c r="C470" s="94"/>
      <c r="D470" s="94"/>
      <c r="E470" s="185"/>
      <c r="F470" s="186"/>
      <c r="G470" s="185"/>
      <c r="H470" s="94"/>
      <c r="I470" s="184"/>
      <c r="J470" s="94"/>
      <c r="K470" s="94"/>
      <c r="L470" s="94"/>
      <c r="M470" s="94"/>
      <c r="N470" s="94"/>
      <c r="O470" s="94"/>
      <c r="P470" s="94"/>
      <c r="Q470" s="187"/>
      <c r="R470" s="187"/>
      <c r="S470" s="187"/>
      <c r="T470" s="187"/>
      <c r="U470" s="183"/>
      <c r="V470" s="183"/>
      <c r="W470" s="183"/>
      <c r="X470" s="185"/>
      <c r="Y470" s="94"/>
      <c r="Z470" s="172"/>
      <c r="AA470" s="172"/>
      <c r="AB470" s="172"/>
      <c r="AC470" s="172"/>
      <c r="AD470" s="172"/>
      <c r="AE470" s="267"/>
      <c r="AF470" s="172"/>
      <c r="AG470" s="172"/>
      <c r="AH470" s="172"/>
      <c r="AI470" s="172"/>
      <c r="AJ470" s="172"/>
      <c r="AK470" s="172"/>
      <c r="AL470" s="172"/>
    </row>
    <row r="471" spans="1:38" ht="21" customHeight="1" x14ac:dyDescent="0.3">
      <c r="A471" s="172"/>
      <c r="B471" s="184"/>
      <c r="C471" s="94"/>
      <c r="D471" s="94"/>
      <c r="E471" s="185"/>
      <c r="F471" s="186"/>
      <c r="G471" s="185"/>
      <c r="H471" s="94"/>
      <c r="I471" s="184"/>
      <c r="J471" s="94"/>
      <c r="K471" s="94"/>
      <c r="L471" s="94"/>
      <c r="M471" s="94"/>
      <c r="N471" s="94"/>
      <c r="O471" s="94"/>
      <c r="P471" s="94"/>
      <c r="Q471" s="187"/>
      <c r="R471" s="187"/>
      <c r="S471" s="187"/>
      <c r="T471" s="187"/>
      <c r="U471" s="183"/>
      <c r="V471" s="183"/>
      <c r="W471" s="183"/>
      <c r="X471" s="185"/>
      <c r="Y471" s="94"/>
      <c r="Z471" s="172"/>
      <c r="AA471" s="172"/>
      <c r="AB471" s="172"/>
      <c r="AC471" s="172"/>
      <c r="AD471" s="172"/>
      <c r="AE471" s="267"/>
      <c r="AF471" s="172"/>
      <c r="AG471" s="172"/>
      <c r="AH471" s="172"/>
      <c r="AI471" s="172"/>
      <c r="AJ471" s="172"/>
      <c r="AK471" s="172"/>
      <c r="AL471" s="172"/>
    </row>
    <row r="472" spans="1:38" ht="21" customHeight="1" x14ac:dyDescent="0.3">
      <c r="A472" s="172"/>
      <c r="B472" s="184"/>
      <c r="C472" s="94"/>
      <c r="D472" s="94"/>
      <c r="E472" s="185"/>
      <c r="F472" s="186"/>
      <c r="G472" s="185"/>
      <c r="H472" s="94"/>
      <c r="I472" s="184"/>
      <c r="J472" s="94"/>
      <c r="K472" s="94"/>
      <c r="L472" s="94"/>
      <c r="M472" s="94"/>
      <c r="N472" s="94"/>
      <c r="O472" s="94"/>
      <c r="P472" s="94"/>
      <c r="Q472" s="187"/>
      <c r="R472" s="187"/>
      <c r="S472" s="187"/>
      <c r="T472" s="187"/>
      <c r="U472" s="183"/>
      <c r="V472" s="183"/>
      <c r="W472" s="183"/>
      <c r="X472" s="185"/>
      <c r="Y472" s="94"/>
      <c r="Z472" s="172"/>
      <c r="AA472" s="172"/>
      <c r="AB472" s="172"/>
      <c r="AC472" s="172"/>
      <c r="AD472" s="172"/>
      <c r="AE472" s="267"/>
      <c r="AF472" s="172"/>
      <c r="AG472" s="172"/>
      <c r="AH472" s="172"/>
      <c r="AI472" s="172"/>
      <c r="AJ472" s="172"/>
      <c r="AK472" s="172"/>
      <c r="AL472" s="172"/>
    </row>
    <row r="473" spans="1:38" ht="21" customHeight="1" x14ac:dyDescent="0.3">
      <c r="A473" s="172"/>
      <c r="B473" s="184"/>
      <c r="C473" s="94"/>
      <c r="D473" s="94"/>
      <c r="E473" s="185"/>
      <c r="F473" s="186"/>
      <c r="G473" s="185"/>
      <c r="H473" s="94"/>
      <c r="I473" s="184"/>
      <c r="J473" s="94"/>
      <c r="K473" s="94"/>
      <c r="L473" s="94"/>
      <c r="M473" s="94"/>
      <c r="N473" s="94"/>
      <c r="O473" s="94"/>
      <c r="P473" s="94"/>
      <c r="Q473" s="187"/>
      <c r="R473" s="187"/>
      <c r="S473" s="187"/>
      <c r="T473" s="187"/>
      <c r="U473" s="183"/>
      <c r="V473" s="183"/>
      <c r="W473" s="183"/>
      <c r="X473" s="185"/>
      <c r="Y473" s="94"/>
      <c r="Z473" s="172"/>
      <c r="AA473" s="172"/>
      <c r="AB473" s="172"/>
      <c r="AC473" s="172"/>
      <c r="AD473" s="172"/>
      <c r="AE473" s="267"/>
      <c r="AF473" s="172"/>
      <c r="AG473" s="172"/>
      <c r="AH473" s="172"/>
      <c r="AI473" s="172"/>
      <c r="AJ473" s="172"/>
      <c r="AK473" s="172"/>
      <c r="AL473" s="172"/>
    </row>
    <row r="474" spans="1:38" ht="21" customHeight="1" x14ac:dyDescent="0.3">
      <c r="A474" s="172"/>
      <c r="B474" s="184"/>
      <c r="C474" s="94"/>
      <c r="D474" s="94"/>
      <c r="E474" s="185"/>
      <c r="F474" s="186"/>
      <c r="G474" s="185"/>
      <c r="H474" s="94"/>
      <c r="I474" s="184"/>
      <c r="J474" s="94"/>
      <c r="K474" s="94"/>
      <c r="L474" s="94"/>
      <c r="M474" s="94"/>
      <c r="N474" s="94"/>
      <c r="O474" s="94"/>
      <c r="P474" s="94"/>
      <c r="Q474" s="187"/>
      <c r="R474" s="187"/>
      <c r="S474" s="187"/>
      <c r="T474" s="187"/>
      <c r="U474" s="183"/>
      <c r="V474" s="183"/>
      <c r="W474" s="183"/>
      <c r="X474" s="185"/>
      <c r="Y474" s="94"/>
      <c r="Z474" s="172"/>
      <c r="AA474" s="172"/>
      <c r="AB474" s="172"/>
      <c r="AC474" s="172"/>
      <c r="AD474" s="172"/>
      <c r="AE474" s="267"/>
      <c r="AF474" s="172"/>
      <c r="AG474" s="172"/>
      <c r="AH474" s="172"/>
      <c r="AI474" s="172"/>
      <c r="AJ474" s="172"/>
      <c r="AK474" s="172"/>
      <c r="AL474" s="172"/>
    </row>
    <row r="475" spans="1:38" ht="21" customHeight="1" x14ac:dyDescent="0.3">
      <c r="A475" s="172"/>
      <c r="B475" s="184"/>
      <c r="C475" s="94"/>
      <c r="D475" s="94"/>
      <c r="E475" s="185"/>
      <c r="F475" s="186"/>
      <c r="G475" s="185"/>
      <c r="H475" s="94"/>
      <c r="I475" s="184"/>
      <c r="J475" s="94"/>
      <c r="K475" s="94"/>
      <c r="L475" s="94"/>
      <c r="M475" s="94"/>
      <c r="N475" s="94"/>
      <c r="O475" s="94"/>
      <c r="P475" s="94"/>
      <c r="Q475" s="187"/>
      <c r="R475" s="187"/>
      <c r="S475" s="187"/>
      <c r="T475" s="187"/>
      <c r="U475" s="183"/>
      <c r="V475" s="183"/>
      <c r="W475" s="183"/>
      <c r="X475" s="185"/>
      <c r="Y475" s="94"/>
      <c r="Z475" s="172"/>
      <c r="AA475" s="172"/>
      <c r="AB475" s="172"/>
      <c r="AC475" s="172"/>
      <c r="AD475" s="172"/>
      <c r="AE475" s="267"/>
      <c r="AF475" s="172"/>
      <c r="AG475" s="172"/>
      <c r="AH475" s="172"/>
      <c r="AI475" s="172"/>
      <c r="AJ475" s="172"/>
      <c r="AK475" s="172"/>
      <c r="AL475" s="172"/>
    </row>
    <row r="476" spans="1:38" ht="21" customHeight="1" x14ac:dyDescent="0.3">
      <c r="A476" s="172"/>
      <c r="B476" s="184"/>
      <c r="C476" s="94"/>
      <c r="D476" s="94"/>
      <c r="E476" s="185"/>
      <c r="F476" s="186"/>
      <c r="G476" s="185"/>
      <c r="H476" s="94"/>
      <c r="I476" s="184"/>
      <c r="J476" s="94"/>
      <c r="K476" s="94"/>
      <c r="L476" s="94"/>
      <c r="M476" s="94"/>
      <c r="N476" s="94"/>
      <c r="O476" s="94"/>
      <c r="P476" s="94"/>
      <c r="Q476" s="187"/>
      <c r="R476" s="187"/>
      <c r="S476" s="187"/>
      <c r="T476" s="187"/>
      <c r="U476" s="183"/>
      <c r="V476" s="183"/>
      <c r="W476" s="183"/>
      <c r="X476" s="185"/>
      <c r="Y476" s="94"/>
      <c r="Z476" s="172"/>
      <c r="AA476" s="172"/>
      <c r="AB476" s="172"/>
      <c r="AC476" s="172"/>
      <c r="AD476" s="172"/>
      <c r="AE476" s="267"/>
      <c r="AF476" s="172"/>
      <c r="AG476" s="172"/>
      <c r="AH476" s="172"/>
      <c r="AI476" s="172"/>
      <c r="AJ476" s="172"/>
      <c r="AK476" s="172"/>
      <c r="AL476" s="172"/>
    </row>
    <row r="477" spans="1:38" ht="21" customHeight="1" x14ac:dyDescent="0.3">
      <c r="A477" s="172"/>
      <c r="B477" s="184"/>
      <c r="C477" s="94"/>
      <c r="D477" s="94"/>
      <c r="E477" s="185"/>
      <c r="F477" s="186"/>
      <c r="G477" s="185"/>
      <c r="H477" s="94"/>
      <c r="I477" s="184"/>
      <c r="J477" s="94"/>
      <c r="K477" s="94"/>
      <c r="L477" s="94"/>
      <c r="M477" s="94"/>
      <c r="N477" s="94"/>
      <c r="O477" s="94"/>
      <c r="P477" s="94"/>
      <c r="Q477" s="187"/>
      <c r="R477" s="187"/>
      <c r="S477" s="187"/>
      <c r="T477" s="187"/>
      <c r="U477" s="183"/>
      <c r="V477" s="183"/>
      <c r="W477" s="183"/>
      <c r="X477" s="185"/>
      <c r="Y477" s="94"/>
      <c r="Z477" s="172"/>
      <c r="AA477" s="172"/>
      <c r="AB477" s="172"/>
      <c r="AC477" s="172"/>
      <c r="AD477" s="172"/>
      <c r="AE477" s="267"/>
      <c r="AF477" s="172"/>
      <c r="AG477" s="172"/>
      <c r="AH477" s="172"/>
      <c r="AI477" s="172"/>
      <c r="AJ477" s="172"/>
      <c r="AK477" s="172"/>
      <c r="AL477" s="172"/>
    </row>
    <row r="478" spans="1:38" ht="21" customHeight="1" x14ac:dyDescent="0.3">
      <c r="A478" s="172"/>
      <c r="B478" s="184"/>
      <c r="C478" s="94"/>
      <c r="D478" s="94"/>
      <c r="E478" s="185"/>
      <c r="F478" s="186"/>
      <c r="G478" s="185"/>
      <c r="H478" s="94"/>
      <c r="I478" s="184"/>
      <c r="J478" s="94"/>
      <c r="K478" s="94"/>
      <c r="L478" s="94"/>
      <c r="M478" s="94"/>
      <c r="N478" s="94"/>
      <c r="O478" s="94"/>
      <c r="P478" s="94"/>
      <c r="Q478" s="187"/>
      <c r="R478" s="187"/>
      <c r="S478" s="187"/>
      <c r="T478" s="187"/>
      <c r="U478" s="183"/>
      <c r="V478" s="183"/>
      <c r="W478" s="183"/>
      <c r="X478" s="185"/>
      <c r="Y478" s="94"/>
      <c r="Z478" s="172"/>
      <c r="AA478" s="172"/>
      <c r="AB478" s="172"/>
      <c r="AC478" s="172"/>
      <c r="AD478" s="172"/>
      <c r="AE478" s="267"/>
      <c r="AF478" s="172"/>
      <c r="AG478" s="172"/>
      <c r="AH478" s="172"/>
      <c r="AI478" s="172"/>
      <c r="AJ478" s="172"/>
      <c r="AK478" s="172"/>
      <c r="AL478" s="172"/>
    </row>
    <row r="479" spans="1:38" ht="21" customHeight="1" x14ac:dyDescent="0.3">
      <c r="A479" s="172"/>
      <c r="B479" s="184"/>
      <c r="C479" s="94"/>
      <c r="D479" s="94"/>
      <c r="E479" s="185"/>
      <c r="F479" s="186"/>
      <c r="G479" s="185"/>
      <c r="H479" s="94"/>
      <c r="I479" s="184"/>
      <c r="J479" s="94"/>
      <c r="K479" s="94"/>
      <c r="L479" s="94"/>
      <c r="M479" s="94"/>
      <c r="N479" s="94"/>
      <c r="O479" s="94"/>
      <c r="P479" s="94"/>
      <c r="Q479" s="187"/>
      <c r="R479" s="187"/>
      <c r="S479" s="187"/>
      <c r="T479" s="187"/>
      <c r="U479" s="183"/>
      <c r="V479" s="183"/>
      <c r="W479" s="183"/>
      <c r="X479" s="185"/>
      <c r="Y479" s="94"/>
      <c r="Z479" s="172"/>
      <c r="AA479" s="172"/>
      <c r="AB479" s="172"/>
      <c r="AC479" s="172"/>
      <c r="AD479" s="172"/>
      <c r="AE479" s="267"/>
      <c r="AF479" s="172"/>
      <c r="AG479" s="172"/>
      <c r="AH479" s="172"/>
      <c r="AI479" s="172"/>
      <c r="AJ479" s="172"/>
      <c r="AK479" s="172"/>
      <c r="AL479" s="172"/>
    </row>
    <row r="480" spans="1:38" ht="21" customHeight="1" x14ac:dyDescent="0.3">
      <c r="A480" s="172"/>
      <c r="B480" s="184"/>
      <c r="C480" s="94"/>
      <c r="D480" s="94"/>
      <c r="E480" s="185"/>
      <c r="F480" s="186"/>
      <c r="G480" s="185"/>
      <c r="H480" s="94"/>
      <c r="I480" s="184"/>
      <c r="J480" s="94"/>
      <c r="K480" s="94"/>
      <c r="L480" s="94"/>
      <c r="M480" s="94"/>
      <c r="N480" s="94"/>
      <c r="O480" s="94"/>
      <c r="P480" s="94"/>
      <c r="Q480" s="187"/>
      <c r="R480" s="187"/>
      <c r="S480" s="187"/>
      <c r="T480" s="187"/>
      <c r="U480" s="183"/>
      <c r="V480" s="183"/>
      <c r="W480" s="183"/>
      <c r="X480" s="185"/>
      <c r="Y480" s="94"/>
      <c r="Z480" s="172"/>
      <c r="AA480" s="172"/>
      <c r="AB480" s="172"/>
      <c r="AC480" s="172"/>
      <c r="AD480" s="172"/>
      <c r="AE480" s="267"/>
      <c r="AF480" s="172"/>
      <c r="AG480" s="172"/>
      <c r="AH480" s="172"/>
      <c r="AI480" s="172"/>
      <c r="AJ480" s="172"/>
      <c r="AK480" s="172"/>
      <c r="AL480" s="172"/>
    </row>
    <row r="481" spans="1:38" ht="21" customHeight="1" x14ac:dyDescent="0.3">
      <c r="A481" s="172"/>
      <c r="B481" s="184"/>
      <c r="C481" s="94"/>
      <c r="D481" s="94"/>
      <c r="E481" s="185"/>
      <c r="F481" s="186"/>
      <c r="G481" s="185"/>
      <c r="H481" s="94"/>
      <c r="I481" s="184"/>
      <c r="J481" s="94"/>
      <c r="K481" s="94"/>
      <c r="L481" s="94"/>
      <c r="M481" s="94"/>
      <c r="N481" s="94"/>
      <c r="O481" s="94"/>
      <c r="P481" s="94"/>
      <c r="Q481" s="187"/>
      <c r="R481" s="187"/>
      <c r="S481" s="187"/>
      <c r="T481" s="187"/>
      <c r="U481" s="183"/>
      <c r="V481" s="183"/>
      <c r="W481" s="183"/>
      <c r="X481" s="185"/>
      <c r="Y481" s="94"/>
      <c r="Z481" s="172"/>
      <c r="AA481" s="172"/>
      <c r="AB481" s="172"/>
      <c r="AC481" s="172"/>
      <c r="AD481" s="172"/>
      <c r="AE481" s="267"/>
      <c r="AF481" s="172"/>
      <c r="AG481" s="172"/>
      <c r="AH481" s="172"/>
      <c r="AI481" s="172"/>
      <c r="AJ481" s="172"/>
      <c r="AK481" s="172"/>
      <c r="AL481" s="172"/>
    </row>
    <row r="482" spans="1:38" ht="21" customHeight="1" x14ac:dyDescent="0.3">
      <c r="A482" s="172"/>
      <c r="B482" s="184"/>
      <c r="C482" s="94"/>
      <c r="D482" s="94"/>
      <c r="E482" s="185"/>
      <c r="F482" s="186"/>
      <c r="G482" s="185"/>
      <c r="H482" s="94"/>
      <c r="I482" s="184"/>
      <c r="J482" s="94"/>
      <c r="K482" s="94"/>
      <c r="L482" s="94"/>
      <c r="M482" s="94"/>
      <c r="N482" s="94"/>
      <c r="O482" s="94"/>
      <c r="P482" s="94"/>
      <c r="Q482" s="187"/>
      <c r="R482" s="187"/>
      <c r="S482" s="187"/>
      <c r="T482" s="187"/>
      <c r="U482" s="183"/>
      <c r="V482" s="183"/>
      <c r="W482" s="183"/>
      <c r="X482" s="185"/>
      <c r="Y482" s="94"/>
      <c r="Z482" s="172"/>
      <c r="AA482" s="172"/>
      <c r="AB482" s="172"/>
      <c r="AC482" s="172"/>
      <c r="AD482" s="172"/>
      <c r="AE482" s="267"/>
      <c r="AF482" s="172"/>
      <c r="AG482" s="172"/>
      <c r="AH482" s="172"/>
      <c r="AI482" s="172"/>
      <c r="AJ482" s="172"/>
      <c r="AK482" s="172"/>
      <c r="AL482" s="172"/>
    </row>
    <row r="483" spans="1:38" ht="21" customHeight="1" x14ac:dyDescent="0.3">
      <c r="A483" s="172"/>
      <c r="B483" s="184"/>
      <c r="C483" s="94"/>
      <c r="D483" s="94"/>
      <c r="E483" s="185"/>
      <c r="F483" s="186"/>
      <c r="G483" s="185"/>
      <c r="H483" s="94"/>
      <c r="I483" s="184"/>
      <c r="J483" s="94"/>
      <c r="K483" s="94"/>
      <c r="L483" s="94"/>
      <c r="M483" s="94"/>
      <c r="N483" s="94"/>
      <c r="O483" s="94"/>
      <c r="P483" s="94"/>
      <c r="Q483" s="187"/>
      <c r="R483" s="187"/>
      <c r="S483" s="187"/>
      <c r="T483" s="187"/>
      <c r="U483" s="183"/>
      <c r="V483" s="183"/>
      <c r="W483" s="183"/>
      <c r="X483" s="185"/>
      <c r="Y483" s="94"/>
      <c r="Z483" s="172"/>
      <c r="AA483" s="172"/>
      <c r="AB483" s="172"/>
      <c r="AC483" s="172"/>
      <c r="AD483" s="172"/>
      <c r="AE483" s="267"/>
      <c r="AF483" s="172"/>
      <c r="AG483" s="172"/>
      <c r="AH483" s="172"/>
      <c r="AI483" s="172"/>
      <c r="AJ483" s="172"/>
      <c r="AK483" s="172"/>
      <c r="AL483" s="172"/>
    </row>
    <row r="484" spans="1:38" ht="21" customHeight="1" x14ac:dyDescent="0.3">
      <c r="A484" s="172"/>
      <c r="B484" s="184"/>
      <c r="C484" s="94"/>
      <c r="D484" s="94"/>
      <c r="E484" s="185"/>
      <c r="F484" s="186"/>
      <c r="G484" s="185"/>
      <c r="H484" s="94"/>
      <c r="I484" s="184"/>
      <c r="J484" s="94"/>
      <c r="K484" s="94"/>
      <c r="L484" s="94"/>
      <c r="M484" s="94"/>
      <c r="N484" s="94"/>
      <c r="O484" s="94"/>
      <c r="P484" s="94"/>
      <c r="Q484" s="187"/>
      <c r="R484" s="187"/>
      <c r="S484" s="187"/>
      <c r="T484" s="187"/>
      <c r="U484" s="183"/>
      <c r="V484" s="183"/>
      <c r="W484" s="183"/>
      <c r="X484" s="185"/>
      <c r="Y484" s="94"/>
      <c r="Z484" s="172"/>
      <c r="AA484" s="172"/>
      <c r="AB484" s="172"/>
      <c r="AC484" s="172"/>
      <c r="AD484" s="172"/>
      <c r="AE484" s="267"/>
      <c r="AF484" s="172"/>
      <c r="AG484" s="172"/>
      <c r="AH484" s="172"/>
      <c r="AI484" s="172"/>
      <c r="AJ484" s="172"/>
      <c r="AK484" s="172"/>
      <c r="AL484" s="172"/>
    </row>
    <row r="485" spans="1:38" ht="21" customHeight="1" x14ac:dyDescent="0.3">
      <c r="A485" s="172"/>
      <c r="B485" s="184"/>
      <c r="C485" s="94"/>
      <c r="D485" s="94"/>
      <c r="E485" s="185"/>
      <c r="F485" s="186"/>
      <c r="G485" s="185"/>
      <c r="H485" s="94"/>
      <c r="I485" s="184"/>
      <c r="J485" s="94"/>
      <c r="K485" s="94"/>
      <c r="L485" s="94"/>
      <c r="M485" s="94"/>
      <c r="N485" s="94"/>
      <c r="O485" s="94"/>
      <c r="P485" s="94"/>
      <c r="Q485" s="187"/>
      <c r="R485" s="187"/>
      <c r="S485" s="187"/>
      <c r="T485" s="187"/>
      <c r="U485" s="183"/>
      <c r="V485" s="183"/>
      <c r="W485" s="183"/>
      <c r="X485" s="185"/>
      <c r="Y485" s="94"/>
      <c r="Z485" s="172"/>
      <c r="AA485" s="172"/>
      <c r="AB485" s="172"/>
      <c r="AC485" s="172"/>
      <c r="AD485" s="172"/>
      <c r="AE485" s="267"/>
      <c r="AF485" s="172"/>
      <c r="AG485" s="172"/>
      <c r="AH485" s="172"/>
      <c r="AI485" s="172"/>
      <c r="AJ485" s="172"/>
      <c r="AK485" s="172"/>
      <c r="AL485" s="172"/>
    </row>
    <row r="486" spans="1:38" ht="21" customHeight="1" x14ac:dyDescent="0.3">
      <c r="A486" s="172"/>
      <c r="B486" s="184"/>
      <c r="C486" s="94"/>
      <c r="D486" s="94"/>
      <c r="E486" s="185"/>
      <c r="F486" s="186"/>
      <c r="G486" s="185"/>
      <c r="H486" s="94"/>
      <c r="I486" s="184"/>
      <c r="J486" s="94"/>
      <c r="K486" s="94"/>
      <c r="L486" s="94"/>
      <c r="M486" s="94"/>
      <c r="N486" s="94"/>
      <c r="O486" s="94"/>
      <c r="P486" s="94"/>
      <c r="Q486" s="187"/>
      <c r="R486" s="187"/>
      <c r="S486" s="187"/>
      <c r="T486" s="187"/>
      <c r="U486" s="183"/>
      <c r="V486" s="183"/>
      <c r="W486" s="183"/>
      <c r="X486" s="185"/>
      <c r="Y486" s="94"/>
      <c r="Z486" s="172"/>
      <c r="AA486" s="172"/>
      <c r="AB486" s="172"/>
      <c r="AC486" s="172"/>
      <c r="AD486" s="172"/>
      <c r="AE486" s="267"/>
      <c r="AF486" s="172"/>
      <c r="AG486" s="172"/>
      <c r="AH486" s="172"/>
      <c r="AI486" s="172"/>
      <c r="AJ486" s="172"/>
      <c r="AK486" s="172"/>
      <c r="AL486" s="172"/>
    </row>
    <row r="487" spans="1:38" ht="21" customHeight="1" x14ac:dyDescent="0.3">
      <c r="A487" s="172"/>
      <c r="B487" s="184"/>
      <c r="C487" s="94"/>
      <c r="D487" s="94"/>
      <c r="E487" s="185"/>
      <c r="F487" s="186"/>
      <c r="G487" s="185"/>
      <c r="H487" s="94"/>
      <c r="I487" s="184"/>
      <c r="J487" s="94"/>
      <c r="K487" s="94"/>
      <c r="L487" s="94"/>
      <c r="M487" s="94"/>
      <c r="N487" s="94"/>
      <c r="O487" s="94"/>
      <c r="P487" s="94"/>
      <c r="Q487" s="187"/>
      <c r="R487" s="187"/>
      <c r="S487" s="187"/>
      <c r="T487" s="187"/>
      <c r="U487" s="183"/>
      <c r="V487" s="183"/>
      <c r="W487" s="183"/>
      <c r="X487" s="185"/>
      <c r="Y487" s="94"/>
      <c r="Z487" s="172"/>
      <c r="AA487" s="172"/>
      <c r="AB487" s="172"/>
      <c r="AC487" s="172"/>
      <c r="AD487" s="172"/>
      <c r="AE487" s="267"/>
      <c r="AF487" s="172"/>
      <c r="AG487" s="172"/>
      <c r="AH487" s="172"/>
      <c r="AI487" s="172"/>
      <c r="AJ487" s="172"/>
      <c r="AK487" s="172"/>
      <c r="AL487" s="172"/>
    </row>
    <row r="488" spans="1:38" ht="21" customHeight="1" x14ac:dyDescent="0.3">
      <c r="A488" s="172"/>
      <c r="B488" s="184"/>
      <c r="C488" s="94"/>
      <c r="D488" s="94"/>
      <c r="E488" s="185"/>
      <c r="F488" s="186"/>
      <c r="G488" s="185"/>
      <c r="H488" s="94"/>
      <c r="I488" s="184"/>
      <c r="J488" s="94"/>
      <c r="K488" s="94"/>
      <c r="L488" s="94"/>
      <c r="M488" s="94"/>
      <c r="N488" s="94"/>
      <c r="O488" s="94"/>
      <c r="P488" s="94"/>
      <c r="Q488" s="187"/>
      <c r="R488" s="187"/>
      <c r="S488" s="187"/>
      <c r="T488" s="187"/>
      <c r="U488" s="183"/>
      <c r="V488" s="183"/>
      <c r="W488" s="183"/>
      <c r="X488" s="185"/>
      <c r="Y488" s="94"/>
      <c r="Z488" s="172"/>
      <c r="AA488" s="172"/>
      <c r="AB488" s="172"/>
      <c r="AC488" s="172"/>
      <c r="AD488" s="172"/>
      <c r="AE488" s="267"/>
      <c r="AF488" s="172"/>
      <c r="AG488" s="172"/>
      <c r="AH488" s="172"/>
      <c r="AI488" s="172"/>
      <c r="AJ488" s="172"/>
      <c r="AK488" s="172"/>
      <c r="AL488" s="172"/>
    </row>
    <row r="489" spans="1:38" ht="21" customHeight="1" x14ac:dyDescent="0.3">
      <c r="A489" s="172"/>
      <c r="B489" s="184"/>
      <c r="C489" s="94"/>
      <c r="D489" s="94"/>
      <c r="E489" s="185"/>
      <c r="F489" s="186"/>
      <c r="G489" s="185"/>
      <c r="H489" s="94"/>
      <c r="I489" s="184"/>
      <c r="J489" s="94"/>
      <c r="K489" s="94"/>
      <c r="L489" s="94"/>
      <c r="M489" s="94"/>
      <c r="N489" s="94"/>
      <c r="O489" s="94"/>
      <c r="P489" s="94"/>
      <c r="Q489" s="187"/>
      <c r="R489" s="187"/>
      <c r="S489" s="187"/>
      <c r="T489" s="187"/>
      <c r="U489" s="183"/>
      <c r="V489" s="183"/>
      <c r="W489" s="183"/>
      <c r="X489" s="185"/>
      <c r="Y489" s="94"/>
      <c r="Z489" s="172"/>
      <c r="AA489" s="172"/>
      <c r="AB489" s="172"/>
      <c r="AC489" s="172"/>
      <c r="AD489" s="172"/>
      <c r="AE489" s="267"/>
      <c r="AF489" s="172"/>
      <c r="AG489" s="172"/>
      <c r="AH489" s="172"/>
      <c r="AI489" s="172"/>
      <c r="AJ489" s="172"/>
      <c r="AK489" s="172"/>
      <c r="AL489" s="172"/>
    </row>
    <row r="490" spans="1:38" ht="21" customHeight="1" x14ac:dyDescent="0.3">
      <c r="A490" s="172"/>
      <c r="B490" s="184"/>
      <c r="C490" s="94"/>
      <c r="D490" s="94"/>
      <c r="E490" s="185"/>
      <c r="F490" s="186"/>
      <c r="G490" s="185"/>
      <c r="H490" s="94"/>
      <c r="I490" s="184"/>
      <c r="J490" s="94"/>
      <c r="K490" s="94"/>
      <c r="L490" s="94"/>
      <c r="M490" s="94"/>
      <c r="N490" s="94"/>
      <c r="O490" s="94"/>
      <c r="P490" s="94"/>
      <c r="Q490" s="187"/>
      <c r="R490" s="187"/>
      <c r="S490" s="187"/>
      <c r="T490" s="187"/>
      <c r="U490" s="183"/>
      <c r="V490" s="183"/>
      <c r="W490" s="183"/>
      <c r="X490" s="185"/>
      <c r="Y490" s="94"/>
      <c r="Z490" s="172"/>
      <c r="AA490" s="172"/>
      <c r="AB490" s="172"/>
      <c r="AC490" s="172"/>
      <c r="AD490" s="172"/>
      <c r="AE490" s="267"/>
      <c r="AF490" s="172"/>
      <c r="AG490" s="172"/>
      <c r="AH490" s="172"/>
      <c r="AI490" s="172"/>
      <c r="AJ490" s="172"/>
      <c r="AK490" s="172"/>
      <c r="AL490" s="172"/>
    </row>
    <row r="491" spans="1:38" ht="21" customHeight="1" x14ac:dyDescent="0.3">
      <c r="A491" s="172"/>
      <c r="B491" s="184"/>
      <c r="C491" s="94"/>
      <c r="D491" s="94"/>
      <c r="E491" s="185"/>
      <c r="F491" s="186"/>
      <c r="G491" s="185"/>
      <c r="H491" s="94"/>
      <c r="I491" s="184"/>
      <c r="J491" s="94"/>
      <c r="K491" s="94"/>
      <c r="L491" s="94"/>
      <c r="M491" s="94"/>
      <c r="N491" s="94"/>
      <c r="O491" s="94"/>
      <c r="P491" s="94"/>
      <c r="Q491" s="187"/>
      <c r="R491" s="187"/>
      <c r="S491" s="187"/>
      <c r="T491" s="187"/>
      <c r="U491" s="183"/>
      <c r="V491" s="183"/>
      <c r="W491" s="183"/>
      <c r="X491" s="185"/>
      <c r="Y491" s="94"/>
      <c r="Z491" s="172"/>
      <c r="AA491" s="172"/>
      <c r="AB491" s="172"/>
      <c r="AC491" s="172"/>
      <c r="AD491" s="172"/>
      <c r="AE491" s="267"/>
      <c r="AF491" s="172"/>
      <c r="AG491" s="172"/>
      <c r="AH491" s="172"/>
      <c r="AI491" s="172"/>
      <c r="AJ491" s="172"/>
      <c r="AK491" s="172"/>
      <c r="AL491" s="172"/>
    </row>
    <row r="492" spans="1:38" ht="21" customHeight="1" x14ac:dyDescent="0.3">
      <c r="A492" s="172"/>
      <c r="B492" s="184"/>
      <c r="C492" s="94"/>
      <c r="D492" s="94"/>
      <c r="E492" s="185"/>
      <c r="F492" s="186"/>
      <c r="G492" s="185"/>
      <c r="H492" s="94"/>
      <c r="I492" s="184"/>
      <c r="J492" s="94"/>
      <c r="K492" s="94"/>
      <c r="L492" s="94"/>
      <c r="M492" s="94"/>
      <c r="N492" s="94"/>
      <c r="O492" s="94"/>
      <c r="P492" s="94"/>
      <c r="Q492" s="187"/>
      <c r="R492" s="187"/>
      <c r="S492" s="187"/>
      <c r="T492" s="187"/>
      <c r="U492" s="183"/>
      <c r="V492" s="183"/>
      <c r="W492" s="183"/>
      <c r="X492" s="185"/>
      <c r="Y492" s="94"/>
      <c r="Z492" s="172"/>
      <c r="AA492" s="172"/>
      <c r="AB492" s="172"/>
      <c r="AC492" s="172"/>
      <c r="AD492" s="172"/>
      <c r="AE492" s="267"/>
      <c r="AF492" s="172"/>
      <c r="AG492" s="172"/>
      <c r="AH492" s="172"/>
      <c r="AI492" s="172"/>
      <c r="AJ492" s="172"/>
      <c r="AK492" s="172"/>
      <c r="AL492" s="172"/>
    </row>
    <row r="493" spans="1:38" ht="21" customHeight="1" x14ac:dyDescent="0.3">
      <c r="A493" s="172"/>
      <c r="B493" s="184"/>
      <c r="C493" s="94"/>
      <c r="D493" s="94"/>
      <c r="E493" s="185"/>
      <c r="F493" s="186"/>
      <c r="G493" s="185"/>
      <c r="H493" s="94"/>
      <c r="I493" s="184"/>
      <c r="J493" s="94"/>
      <c r="K493" s="94"/>
      <c r="L493" s="94"/>
      <c r="M493" s="94"/>
      <c r="N493" s="94"/>
      <c r="O493" s="94"/>
      <c r="P493" s="94"/>
      <c r="Q493" s="187"/>
      <c r="R493" s="187"/>
      <c r="S493" s="187"/>
      <c r="T493" s="187"/>
      <c r="U493" s="183"/>
      <c r="V493" s="183"/>
      <c r="W493" s="183"/>
      <c r="X493" s="185"/>
      <c r="Y493" s="94"/>
      <c r="Z493" s="172"/>
      <c r="AA493" s="172"/>
      <c r="AB493" s="172"/>
      <c r="AC493" s="172"/>
      <c r="AD493" s="172"/>
      <c r="AE493" s="267"/>
      <c r="AF493" s="172"/>
      <c r="AG493" s="172"/>
      <c r="AH493" s="172"/>
      <c r="AI493" s="172"/>
      <c r="AJ493" s="172"/>
      <c r="AK493" s="172"/>
      <c r="AL493" s="172"/>
    </row>
    <row r="494" spans="1:38" ht="21" customHeight="1" x14ac:dyDescent="0.3">
      <c r="A494" s="172"/>
      <c r="B494" s="184"/>
      <c r="C494" s="94"/>
      <c r="D494" s="94"/>
      <c r="E494" s="185"/>
      <c r="F494" s="186"/>
      <c r="G494" s="185"/>
      <c r="H494" s="94"/>
      <c r="I494" s="184"/>
      <c r="J494" s="94"/>
      <c r="K494" s="94"/>
      <c r="L494" s="94"/>
      <c r="M494" s="94"/>
      <c r="N494" s="94"/>
      <c r="O494" s="94"/>
      <c r="P494" s="94"/>
      <c r="Q494" s="187"/>
      <c r="R494" s="187"/>
      <c r="S494" s="187"/>
      <c r="T494" s="187"/>
      <c r="U494" s="183"/>
      <c r="V494" s="183"/>
      <c r="W494" s="183"/>
      <c r="X494" s="185"/>
      <c r="Y494" s="94"/>
      <c r="Z494" s="172"/>
      <c r="AA494" s="172"/>
      <c r="AB494" s="172"/>
      <c r="AC494" s="172"/>
      <c r="AD494" s="172"/>
      <c r="AE494" s="267"/>
      <c r="AF494" s="172"/>
      <c r="AG494" s="172"/>
      <c r="AH494" s="172"/>
      <c r="AI494" s="172"/>
      <c r="AJ494" s="172"/>
      <c r="AK494" s="172"/>
      <c r="AL494" s="172"/>
    </row>
  </sheetData>
  <mergeCells count="5">
    <mergeCell ref="AF9:AI12"/>
    <mergeCell ref="W12:Z14"/>
    <mergeCell ref="Q15:T15"/>
    <mergeCell ref="Q16:R16"/>
    <mergeCell ref="S16:T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94"/>
  <sheetViews>
    <sheetView zoomScale="70" zoomScaleNormal="70" workbookViewId="0"/>
  </sheetViews>
  <sheetFormatPr baseColWidth="10" defaultColWidth="11.42578125" defaultRowHeight="15" x14ac:dyDescent="0.25"/>
  <cols>
    <col min="1" max="1" width="20.5703125" customWidth="1"/>
    <col min="2" max="2" width="33.28515625" customWidth="1"/>
    <col min="3" max="4" width="24.5703125" customWidth="1"/>
    <col min="5" max="5" width="17.140625" customWidth="1"/>
    <col min="6" max="6" width="16.5703125" customWidth="1"/>
    <col min="7" max="7" width="34.42578125" customWidth="1"/>
    <col min="8" max="8" width="43.5703125" customWidth="1"/>
    <col min="9" max="9" width="18.7109375" customWidth="1"/>
    <col min="10" max="10" width="21.5703125" customWidth="1"/>
    <col min="11" max="11" width="25.28515625" customWidth="1"/>
    <col min="12" max="12" width="20.85546875" customWidth="1"/>
    <col min="13" max="13" width="19.85546875" customWidth="1"/>
    <col min="14" max="14" width="18.28515625" customWidth="1"/>
    <col min="15" max="15" width="14" customWidth="1"/>
    <col min="16" max="16" width="23.28515625" customWidth="1"/>
    <col min="17" max="17" width="20.85546875" customWidth="1"/>
    <col min="18" max="18" width="18.85546875" customWidth="1"/>
    <col min="19" max="19" width="22.42578125" customWidth="1"/>
    <col min="20" max="20" width="32.42578125" customWidth="1"/>
  </cols>
  <sheetData>
    <row r="1" spans="1:11" ht="21" customHeight="1" x14ac:dyDescent="0.45">
      <c r="A1" s="327" t="s">
        <v>166</v>
      </c>
    </row>
    <row r="2" spans="1:11" ht="21" customHeight="1" x14ac:dyDescent="0.25"/>
    <row r="3" spans="1:11" ht="21" customHeight="1" x14ac:dyDescent="0.35">
      <c r="A3" s="11"/>
    </row>
    <row r="4" spans="1:11" ht="21" customHeight="1" x14ac:dyDescent="0.35">
      <c r="A4" s="2"/>
      <c r="B4" s="11" t="s">
        <v>136</v>
      </c>
      <c r="G4" s="307"/>
      <c r="H4" s="312"/>
      <c r="I4" s="307"/>
      <c r="J4" s="312"/>
    </row>
    <row r="5" spans="1:11" ht="21" customHeight="1" x14ac:dyDescent="0.35">
      <c r="A5" s="12"/>
      <c r="G5" s="307"/>
      <c r="H5" s="312"/>
      <c r="I5" s="307"/>
      <c r="J5" s="312"/>
    </row>
    <row r="6" spans="1:11" ht="21" customHeight="1" x14ac:dyDescent="0.35">
      <c r="A6" s="12"/>
      <c r="E6" s="256" t="s">
        <v>147</v>
      </c>
      <c r="F6" s="309">
        <v>1</v>
      </c>
      <c r="G6" s="307"/>
      <c r="H6" s="313"/>
      <c r="I6" s="307"/>
      <c r="J6" s="313"/>
    </row>
    <row r="7" spans="1:11" ht="21" customHeight="1" x14ac:dyDescent="0.35">
      <c r="A7" s="13"/>
      <c r="E7" s="307"/>
      <c r="F7" s="318"/>
      <c r="G7" s="307"/>
      <c r="H7" s="313"/>
      <c r="I7" s="307"/>
      <c r="J7" s="313"/>
    </row>
    <row r="8" spans="1:11" ht="21" customHeight="1" x14ac:dyDescent="0.35">
      <c r="E8" s="323"/>
      <c r="F8" s="318"/>
      <c r="G8" s="307"/>
      <c r="H8" s="312"/>
      <c r="I8" s="280"/>
      <c r="J8" s="280"/>
    </row>
    <row r="9" spans="1:11" ht="21" customHeight="1" x14ac:dyDescent="0.3">
      <c r="A9" s="348" t="s">
        <v>156</v>
      </c>
      <c r="B9" s="349"/>
      <c r="C9" s="349"/>
      <c r="D9" s="349"/>
      <c r="E9" s="307"/>
      <c r="F9" s="324"/>
      <c r="G9" s="308"/>
      <c r="H9" s="314"/>
      <c r="I9" s="280"/>
      <c r="J9" s="280"/>
    </row>
    <row r="10" spans="1:11" ht="21" customHeight="1" x14ac:dyDescent="0.35">
      <c r="A10" s="350"/>
      <c r="B10" s="350"/>
      <c r="C10" s="350"/>
      <c r="D10" s="350"/>
      <c r="E10" s="307"/>
      <c r="F10" s="318"/>
      <c r="G10" s="307"/>
      <c r="H10" s="312"/>
      <c r="I10" s="280"/>
      <c r="J10" s="280"/>
    </row>
    <row r="11" spans="1:11" ht="21" customHeight="1" x14ac:dyDescent="0.35">
      <c r="A11" s="350"/>
      <c r="B11" s="350"/>
      <c r="C11" s="350"/>
      <c r="D11" s="350"/>
      <c r="E11" s="307"/>
      <c r="F11" s="318"/>
      <c r="G11" s="307"/>
      <c r="H11" s="312"/>
      <c r="I11" s="280"/>
      <c r="J11" s="280"/>
    </row>
    <row r="12" spans="1:11" ht="21" customHeight="1" x14ac:dyDescent="0.3">
      <c r="A12" s="351"/>
      <c r="B12" s="351"/>
      <c r="C12" s="351"/>
      <c r="D12" s="351"/>
      <c r="E12" s="307"/>
      <c r="F12" s="325"/>
      <c r="G12" s="307"/>
      <c r="H12" s="315"/>
      <c r="I12" s="280"/>
      <c r="J12" s="280"/>
    </row>
    <row r="13" spans="1:11" ht="21" customHeight="1" x14ac:dyDescent="0.35">
      <c r="A13" s="326" t="s">
        <v>157</v>
      </c>
      <c r="B13" s="107" t="s">
        <v>158</v>
      </c>
      <c r="C13" s="108" t="s">
        <v>86</v>
      </c>
      <c r="D13" s="319" t="s">
        <v>125</v>
      </c>
      <c r="E13" s="307"/>
      <c r="F13" s="325"/>
      <c r="G13" s="307"/>
      <c r="H13" s="315"/>
      <c r="I13" s="280"/>
      <c r="J13" s="280"/>
    </row>
    <row r="14" spans="1:11" ht="21" customHeight="1" x14ac:dyDescent="0.35">
      <c r="A14" s="289">
        <f>AVERAGE(A21:A494)</f>
        <v>0.24453484348187809</v>
      </c>
      <c r="B14" s="110">
        <f>_xlfn.STDEV.P(A21:A494)</f>
        <v>0.23788873791677304</v>
      </c>
      <c r="C14" s="110">
        <f>$B$14/$A$14</f>
        <v>0.97282143734417303</v>
      </c>
      <c r="D14" s="320">
        <f>0.5*$I$23/$I$19</f>
        <v>0.98215483650430691</v>
      </c>
      <c r="E14" s="307"/>
      <c r="F14" s="318"/>
      <c r="G14" s="307"/>
      <c r="H14" s="315"/>
      <c r="I14" s="280"/>
      <c r="J14" s="280"/>
    </row>
    <row r="15" spans="1:11" ht="21" customHeight="1" x14ac:dyDescent="0.35">
      <c r="A15" s="112" t="s">
        <v>151</v>
      </c>
      <c r="B15" s="317" t="s">
        <v>87</v>
      </c>
      <c r="C15" s="113"/>
      <c r="D15" s="321"/>
      <c r="E15" s="307"/>
      <c r="F15" s="325"/>
      <c r="G15" s="307"/>
      <c r="H15" s="315"/>
      <c r="I15" s="280"/>
      <c r="J15" s="261"/>
      <c r="K15" s="261"/>
    </row>
    <row r="16" spans="1:11" ht="21" customHeight="1" x14ac:dyDescent="0.35">
      <c r="A16" s="290">
        <f>0.5*(1+$F$6*ABS($I$24))*($I$20-$I$18)/$I$19</f>
        <v>0.98574932418659666</v>
      </c>
      <c r="B16" s="116">
        <f>$I$24</f>
        <v>3.6597973646226439E-3</v>
      </c>
      <c r="C16" s="116"/>
      <c r="D16" s="259"/>
      <c r="E16" s="307"/>
      <c r="F16" s="325"/>
      <c r="G16" s="307"/>
      <c r="H16" s="315"/>
      <c r="I16" s="280"/>
      <c r="J16" s="270"/>
      <c r="K16" s="260"/>
    </row>
    <row r="17" spans="1:157" ht="21" customHeight="1" x14ac:dyDescent="0.35">
      <c r="A17" s="79" t="s">
        <v>159</v>
      </c>
      <c r="B17" s="102" t="s">
        <v>164</v>
      </c>
      <c r="C17" s="102"/>
      <c r="D17" s="102"/>
      <c r="E17" s="322"/>
      <c r="F17" s="322"/>
      <c r="G17" s="310"/>
      <c r="H17" s="311" t="s">
        <v>162</v>
      </c>
      <c r="I17" s="234">
        <f>MEDIAN(B21:B494)</f>
        <v>1.2177633390971002E-2</v>
      </c>
      <c r="J17" s="275"/>
      <c r="K17" s="276"/>
      <c r="L17" s="277"/>
      <c r="M17" s="277"/>
      <c r="N17" s="268"/>
      <c r="O17" s="268"/>
      <c r="P17" s="268"/>
      <c r="Q17" s="268"/>
    </row>
    <row r="18" spans="1:157" ht="21" customHeight="1" x14ac:dyDescent="0.35">
      <c r="A18" s="292">
        <f>MEDIAN(A21:A494)</f>
        <v>0.24514395706602243</v>
      </c>
      <c r="B18" s="264">
        <f>ABS(_xlfn.PERCENTILE.EXC(A21:A494,0.84)-_xlfn.PERCENTILE.EXC(A21:A494,0.16))*0.5*(1-ABS(((_xlfn.PERCENTILE.EXC(A21:A494,0.84)-_xlfn.PERCENTILE.EXC(A21:A494,0.5))-(_xlfn.PERCENTILE.EXC(A21:A494,0.5)-_xlfn.PERCENTILE.EXC(A21:A494,0.16)))/(_xlfn.PERCENTILE.EXC(A21:A494,0.84)-_xlfn.PERCENTILE.EXC(A21:A494,0.16))))</f>
        <v>0.23988815613813649</v>
      </c>
      <c r="C18" s="263"/>
      <c r="D18" s="118"/>
      <c r="E18" s="118"/>
      <c r="F18" s="118"/>
      <c r="G18" s="117"/>
      <c r="H18" s="115" t="s">
        <v>84</v>
      </c>
      <c r="I18" s="232">
        <f>_xlfn.PERCENTILE.EXC(A21:A494,0.16)</f>
        <v>5.2558009278859449E-3</v>
      </c>
      <c r="J18" s="270"/>
      <c r="K18" s="269"/>
      <c r="L18" s="270"/>
      <c r="M18" s="271"/>
      <c r="N18" s="271"/>
      <c r="O18" s="271"/>
      <c r="P18" s="270"/>
      <c r="Q18" s="316"/>
    </row>
    <row r="19" spans="1:157" ht="21" customHeight="1" x14ac:dyDescent="0.35">
      <c r="A19" s="293"/>
      <c r="B19" s="10"/>
      <c r="C19" s="7"/>
      <c r="D19" s="7"/>
      <c r="E19" s="7"/>
      <c r="F19" s="7"/>
      <c r="G19" s="8"/>
      <c r="H19" s="70" t="s">
        <v>83</v>
      </c>
      <c r="I19" s="233">
        <f>_xlfn.PERCENTILE.EXC(A21:A494,0.5)</f>
        <v>0.24514395706602243</v>
      </c>
      <c r="J19" s="270"/>
      <c r="K19" s="269"/>
      <c r="L19" s="270"/>
      <c r="M19" s="271"/>
      <c r="N19" s="271"/>
      <c r="O19" s="271"/>
      <c r="P19" s="270"/>
      <c r="Q19" s="316"/>
    </row>
    <row r="20" spans="1:157" ht="21" customHeight="1" x14ac:dyDescent="0.35">
      <c r="A20" s="302" t="s">
        <v>160</v>
      </c>
      <c r="B20" s="303" t="s">
        <v>161</v>
      </c>
      <c r="C20" s="299"/>
      <c r="D20" s="299"/>
      <c r="E20" s="299"/>
      <c r="F20" s="299"/>
      <c r="G20" s="40" t="s">
        <v>163</v>
      </c>
      <c r="H20" s="70" t="s">
        <v>85</v>
      </c>
      <c r="I20" s="234">
        <f>_xlfn.PERCENTILE.EXC(A21:A494,0.84)</f>
        <v>0.48679444707228214</v>
      </c>
      <c r="J20" s="270"/>
      <c r="K20" s="269"/>
      <c r="L20" s="270"/>
      <c r="M20" s="271"/>
      <c r="N20" s="271"/>
      <c r="O20" s="271"/>
      <c r="P20" s="270"/>
      <c r="Q20" s="272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</row>
    <row r="21" spans="1:157" s="37" customFormat="1" ht="21" customHeight="1" x14ac:dyDescent="0.35">
      <c r="A21" s="304">
        <v>3.8513308316024647E-2</v>
      </c>
      <c r="B21" s="305">
        <v>5.7463695301784874E-3</v>
      </c>
      <c r="C21" s="300"/>
      <c r="D21" s="300"/>
      <c r="E21" s="300"/>
      <c r="F21" s="300"/>
      <c r="G21" s="148">
        <f>ABS(A21-$A$18)</f>
        <v>0.20663064874999779</v>
      </c>
      <c r="H21" s="71" t="s">
        <v>92</v>
      </c>
      <c r="I21" s="231">
        <f>_xlfn.PERCENTILE.EXC(A21:A494,0.1)</f>
        <v>3.3894341485235669E-3</v>
      </c>
      <c r="J21" s="280"/>
      <c r="K21" s="280"/>
      <c r="L21" s="280"/>
      <c r="M21" s="280"/>
      <c r="N21" s="280"/>
      <c r="O21" s="280"/>
      <c r="P21" s="280"/>
      <c r="Q21" s="280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</row>
    <row r="22" spans="1:157" ht="21" customHeight="1" x14ac:dyDescent="0.35">
      <c r="A22" s="306">
        <v>0.28528653984749108</v>
      </c>
      <c r="B22" s="306">
        <v>1.40442875799988E-2</v>
      </c>
      <c r="C22" s="301"/>
      <c r="D22" s="301"/>
      <c r="E22" s="301"/>
      <c r="F22" s="301"/>
      <c r="G22" s="148">
        <f t="shared" ref="G22:G83" si="0">ABS(A22-$A$18)</f>
        <v>4.014258278146865E-2</v>
      </c>
      <c r="H22" s="71" t="s">
        <v>93</v>
      </c>
      <c r="I22" s="231">
        <f>_xlfn.PERCENTILE.EXC(A21:A494,0.9)</f>
        <v>0.52125394940411551</v>
      </c>
      <c r="J22" s="280"/>
      <c r="K22" s="280"/>
      <c r="L22" s="280"/>
      <c r="M22" s="280"/>
      <c r="N22" s="280"/>
      <c r="O22" s="280"/>
      <c r="P22" s="280"/>
      <c r="Q22" s="26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</row>
    <row r="23" spans="1:157" ht="21" customHeight="1" x14ac:dyDescent="0.35">
      <c r="A23" s="306">
        <v>8.4199273567394498E-2</v>
      </c>
      <c r="B23" s="306">
        <v>6.5927726480865222E-3</v>
      </c>
      <c r="C23" s="301"/>
      <c r="D23" s="301"/>
      <c r="E23" s="301"/>
      <c r="F23" s="301"/>
      <c r="G23" s="148">
        <f t="shared" si="0"/>
        <v>0.16094468349862795</v>
      </c>
      <c r="H23" s="70" t="s">
        <v>99</v>
      </c>
      <c r="I23" s="73">
        <f>I20-I18</f>
        <v>0.48153864614439618</v>
      </c>
      <c r="J23" s="7"/>
      <c r="K23" s="7"/>
      <c r="L23" s="7"/>
      <c r="M23" s="7"/>
      <c r="N23" s="7"/>
      <c r="O23" s="7"/>
      <c r="P23" s="7"/>
      <c r="Q23" s="316"/>
    </row>
    <row r="24" spans="1:157" ht="21" customHeight="1" x14ac:dyDescent="0.35">
      <c r="A24" s="306">
        <v>0.33125329438299067</v>
      </c>
      <c r="B24" s="306">
        <v>1.63448916841499E-2</v>
      </c>
      <c r="C24" s="301"/>
      <c r="D24" s="301"/>
      <c r="E24" s="301"/>
      <c r="F24" s="301"/>
      <c r="G24" s="148">
        <f t="shared" si="0"/>
        <v>8.6109337316968237E-2</v>
      </c>
      <c r="H24" s="70" t="s">
        <v>87</v>
      </c>
      <c r="I24" s="73">
        <f>(($I$20-$I$19)-($I$19-$I$18))/($I$20-$I$18)</f>
        <v>3.6597973646226439E-3</v>
      </c>
      <c r="J24" s="7"/>
      <c r="K24" s="7"/>
      <c r="L24" s="7"/>
      <c r="M24" s="7"/>
      <c r="N24" s="7"/>
      <c r="O24" s="7"/>
      <c r="P24" s="7"/>
      <c r="Q24" s="316"/>
    </row>
    <row r="25" spans="1:157" ht="21" customHeight="1" x14ac:dyDescent="0.35">
      <c r="A25" s="306">
        <v>0.29771068717795995</v>
      </c>
      <c r="B25" s="306">
        <v>1.4652156833418882E-2</v>
      </c>
      <c r="C25" s="301"/>
      <c r="D25" s="301"/>
      <c r="E25" s="301"/>
      <c r="F25" s="301"/>
      <c r="G25" s="148">
        <f t="shared" si="0"/>
        <v>5.2566730111937521E-2</v>
      </c>
      <c r="H25" s="70"/>
      <c r="I25" s="231"/>
      <c r="J25" s="262"/>
      <c r="K25" s="7"/>
      <c r="L25" s="7"/>
      <c r="M25" s="7"/>
      <c r="N25" s="7"/>
      <c r="O25" s="7"/>
      <c r="P25" s="7"/>
      <c r="Q25" s="316"/>
    </row>
    <row r="26" spans="1:157" ht="21" customHeight="1" x14ac:dyDescent="0.35">
      <c r="A26" s="306">
        <v>0.13905374047221233</v>
      </c>
      <c r="B26" s="306">
        <v>8.0823074782809638E-3</v>
      </c>
      <c r="C26" s="301"/>
      <c r="D26" s="301"/>
      <c r="E26" s="301"/>
      <c r="F26" s="301"/>
      <c r="G26" s="148">
        <f t="shared" ref="G26" si="1">ABS(A26-$A$18)</f>
        <v>0.1060902165938101</v>
      </c>
      <c r="H26" s="223" t="s">
        <v>155</v>
      </c>
      <c r="I26" s="224">
        <f>0.5*(1+$F$6*ABS($I$24))</f>
        <v>0.50182989868231132</v>
      </c>
    </row>
    <row r="27" spans="1:157" ht="21" customHeight="1" x14ac:dyDescent="0.35">
      <c r="A27" s="306">
        <v>0.53520473550752024</v>
      </c>
      <c r="B27" s="306">
        <v>2.8608243604510305E-2</v>
      </c>
      <c r="C27" s="301"/>
      <c r="D27" s="301"/>
      <c r="E27" s="301"/>
      <c r="F27" s="301"/>
      <c r="G27" s="148">
        <f t="shared" si="0"/>
        <v>0.2900607784414978</v>
      </c>
      <c r="H27" s="68" t="s">
        <v>138</v>
      </c>
      <c r="I27" s="73">
        <f>0.5*(MAX(A21:A169)-MIN(A21:A169))/$I$19</f>
        <v>2.0021044699519406</v>
      </c>
    </row>
    <row r="28" spans="1:157" ht="21" customHeight="1" x14ac:dyDescent="0.35">
      <c r="A28" s="306">
        <v>7.0639488679404894E-2</v>
      </c>
      <c r="B28" s="306">
        <v>6.2947224275697313E-3</v>
      </c>
      <c r="C28" s="301"/>
      <c r="D28" s="301"/>
      <c r="E28" s="301"/>
      <c r="F28" s="301"/>
      <c r="G28" s="148">
        <f t="shared" si="0"/>
        <v>0.17450446838661754</v>
      </c>
      <c r="H28" s="68" t="s">
        <v>139</v>
      </c>
      <c r="I28" s="73">
        <f>0.5*($I$20-$I$18)/$I$19</f>
        <v>0.98215483650430691</v>
      </c>
    </row>
    <row r="29" spans="1:157" ht="21" customHeight="1" x14ac:dyDescent="0.35">
      <c r="A29" s="306">
        <v>0.27128754986115472</v>
      </c>
      <c r="B29" s="306">
        <v>1.3379189088537739E-2</v>
      </c>
      <c r="C29" s="301"/>
      <c r="D29" s="301"/>
      <c r="E29" s="301"/>
      <c r="F29" s="301"/>
      <c r="G29" s="148">
        <f t="shared" si="0"/>
        <v>2.6143592795132287E-2</v>
      </c>
      <c r="H29" s="225"/>
      <c r="I29" s="224"/>
    </row>
    <row r="30" spans="1:157" ht="21" customHeight="1" x14ac:dyDescent="0.35">
      <c r="A30" s="306">
        <v>0.27931321980254176</v>
      </c>
      <c r="B30" s="306">
        <v>1.3756283987078824E-2</v>
      </c>
      <c r="C30" s="301"/>
      <c r="D30" s="301"/>
      <c r="E30" s="301"/>
      <c r="F30" s="301"/>
      <c r="G30" s="148">
        <f t="shared" si="0"/>
        <v>3.4169262736519324E-2</v>
      </c>
      <c r="H30" s="68" t="s">
        <v>137</v>
      </c>
      <c r="I30" s="73">
        <f>MEDIAN(G21:G494)/$I$19</f>
        <v>0.92134158155481893</v>
      </c>
    </row>
    <row r="31" spans="1:157" ht="21" customHeight="1" x14ac:dyDescent="0.35">
      <c r="A31" s="306">
        <v>0.25667560935621264</v>
      </c>
      <c r="B31" s="306">
        <v>1.2701663260645573E-2</v>
      </c>
      <c r="C31" s="301"/>
      <c r="D31" s="301"/>
      <c r="E31" s="301"/>
      <c r="F31" s="301"/>
      <c r="G31" s="148">
        <f t="shared" si="0"/>
        <v>1.1531652290190209E-2</v>
      </c>
      <c r="H31" s="68" t="s">
        <v>96</v>
      </c>
      <c r="I31" s="73">
        <f>MEDIAN(G21:G494)/$I$19/0.67449</f>
        <v>1.3659825669095449</v>
      </c>
      <c r="J31" s="230" t="s">
        <v>145</v>
      </c>
    </row>
    <row r="32" spans="1:157" ht="21" customHeight="1" x14ac:dyDescent="0.35">
      <c r="A32" s="306">
        <v>0.80516306147785321</v>
      </c>
      <c r="B32" s="306">
        <v>4.9388292620604408E-2</v>
      </c>
      <c r="C32" s="301"/>
      <c r="D32" s="301"/>
      <c r="E32" s="301"/>
      <c r="F32" s="301"/>
      <c r="G32" s="148">
        <f t="shared" si="0"/>
        <v>0.56001910441183078</v>
      </c>
      <c r="H32" s="68" t="s">
        <v>95</v>
      </c>
      <c r="I32" s="74">
        <f>$B$14/$A$14</f>
        <v>0.97282143734417303</v>
      </c>
    </row>
    <row r="33" spans="1:20" ht="21" customHeight="1" x14ac:dyDescent="0.35">
      <c r="A33" s="306">
        <v>0.4328237209854624</v>
      </c>
      <c r="B33" s="306">
        <v>2.2105593973468202E-2</v>
      </c>
      <c r="C33" s="301"/>
      <c r="D33" s="301"/>
      <c r="E33" s="301"/>
      <c r="F33" s="301"/>
      <c r="G33" s="148">
        <f t="shared" si="0"/>
        <v>0.18767976391943997</v>
      </c>
      <c r="H33" s="68" t="s">
        <v>140</v>
      </c>
      <c r="I33" s="74">
        <f>0.5*($I$22-$I$21)/$I$19</f>
        <v>1.0562457289455438</v>
      </c>
    </row>
    <row r="34" spans="1:20" ht="21" customHeight="1" x14ac:dyDescent="0.35">
      <c r="A34" s="306">
        <v>6.5701735949068168E-2</v>
      </c>
      <c r="B34" s="306">
        <v>6.2030833289068305E-3</v>
      </c>
      <c r="C34" s="301"/>
      <c r="D34" s="301"/>
      <c r="E34" s="301"/>
      <c r="F34" s="301"/>
      <c r="G34" s="148">
        <f t="shared" si="0"/>
        <v>0.17944222111695426</v>
      </c>
      <c r="H34" s="68" t="s">
        <v>141</v>
      </c>
      <c r="I34" s="74">
        <f>0.5*($I$37-$I$36)/$I$19</f>
        <v>0.87690576143126941</v>
      </c>
    </row>
    <row r="35" spans="1:20" ht="21" customHeight="1" x14ac:dyDescent="0.3">
      <c r="A35" s="306">
        <v>1.3827414784127112E-2</v>
      </c>
      <c r="B35" s="306">
        <v>5.4661009904158351E-3</v>
      </c>
      <c r="C35" s="301"/>
      <c r="D35" s="301"/>
      <c r="E35" s="301"/>
      <c r="F35" s="301"/>
      <c r="G35" s="148">
        <f t="shared" si="0"/>
        <v>0.23131654228189533</v>
      </c>
      <c r="H35" s="72"/>
      <c r="I35" s="39"/>
    </row>
    <row r="36" spans="1:20" ht="21" customHeight="1" x14ac:dyDescent="0.35">
      <c r="A36" s="306">
        <v>0.33457516817918082</v>
      </c>
      <c r="B36" s="306">
        <v>1.6517017066112378E-2</v>
      </c>
      <c r="C36" s="301"/>
      <c r="D36" s="301"/>
      <c r="E36" s="301"/>
      <c r="F36" s="301"/>
      <c r="G36" s="148">
        <f t="shared" si="0"/>
        <v>8.9431211113158382E-2</v>
      </c>
      <c r="H36" s="71" t="s">
        <v>89</v>
      </c>
      <c r="I36" s="75">
        <f>_xlfn.PERCENTILE.EXC(A21:A494,0.25)</f>
        <v>1.3247488740502897E-2</v>
      </c>
    </row>
    <row r="37" spans="1:20" ht="21" customHeight="1" x14ac:dyDescent="0.35">
      <c r="A37" s="306">
        <v>0.948225835731214</v>
      </c>
      <c r="B37" s="306">
        <v>6.2432300017016808E-2</v>
      </c>
      <c r="C37" s="301"/>
      <c r="D37" s="301"/>
      <c r="E37" s="301"/>
      <c r="F37" s="301"/>
      <c r="G37" s="148">
        <f t="shared" si="0"/>
        <v>0.70308187866519156</v>
      </c>
      <c r="H37" s="69" t="s">
        <v>90</v>
      </c>
      <c r="I37" s="76">
        <f>_xlfn.PERCENTILE.EXC(A21:A494,0.75)</f>
        <v>0.44318378540301256</v>
      </c>
    </row>
    <row r="38" spans="1:20" ht="21" customHeight="1" x14ac:dyDescent="0.35">
      <c r="A38" s="306">
        <v>1.8765040101168234E-2</v>
      </c>
      <c r="B38" s="306">
        <v>5.5371236676738387E-3</v>
      </c>
      <c r="C38" s="301"/>
      <c r="D38" s="301"/>
      <c r="E38" s="301"/>
      <c r="F38" s="301"/>
      <c r="G38" s="148">
        <f t="shared" si="0"/>
        <v>0.22637891696485421</v>
      </c>
      <c r="H38" s="71" t="s">
        <v>91</v>
      </c>
      <c r="I38" s="75">
        <f>($I$37-$I$36)/($I$37+$I$36)</f>
        <v>0.94195187976388528</v>
      </c>
    </row>
    <row r="39" spans="1:20" ht="21" customHeight="1" x14ac:dyDescent="0.3">
      <c r="A39" s="306">
        <v>0.27955776698464935</v>
      </c>
      <c r="B39" s="306">
        <v>1.376966574977747E-2</v>
      </c>
      <c r="C39" s="301"/>
      <c r="D39" s="301"/>
      <c r="E39" s="301"/>
      <c r="F39" s="301"/>
      <c r="G39" s="148">
        <f t="shared" si="0"/>
        <v>3.4413809918626914E-2</v>
      </c>
    </row>
    <row r="40" spans="1:20" ht="21" customHeight="1" x14ac:dyDescent="0.3">
      <c r="A40" s="306">
        <v>0.26670546143986801</v>
      </c>
      <c r="B40" s="306">
        <v>1.315609714997449E-2</v>
      </c>
      <c r="C40" s="301"/>
      <c r="D40" s="301"/>
      <c r="E40" s="301"/>
      <c r="F40" s="301"/>
      <c r="G40" s="148">
        <f t="shared" si="0"/>
        <v>2.1561504373845575E-2</v>
      </c>
    </row>
    <row r="41" spans="1:20" ht="21" customHeight="1" x14ac:dyDescent="0.35">
      <c r="A41" s="306">
        <v>0.98280060294165439</v>
      </c>
      <c r="B41" s="306">
        <v>6.5798242005940741E-2</v>
      </c>
      <c r="C41" s="301"/>
      <c r="D41" s="301"/>
      <c r="E41" s="301"/>
      <c r="F41" s="301"/>
      <c r="G41" s="148">
        <f t="shared" si="0"/>
        <v>0.73765664587563196</v>
      </c>
      <c r="H41" s="274"/>
      <c r="I41" s="261"/>
      <c r="J41" s="261"/>
      <c r="K41" s="261"/>
      <c r="L41" s="275"/>
      <c r="M41" s="276"/>
      <c r="N41" s="277"/>
      <c r="O41" s="277"/>
      <c r="P41" s="268"/>
      <c r="Q41" s="268"/>
      <c r="R41" s="268"/>
      <c r="S41" s="268"/>
      <c r="T41" s="268"/>
    </row>
    <row r="42" spans="1:20" ht="21" customHeight="1" x14ac:dyDescent="0.35">
      <c r="A42" s="306">
        <v>0.26446488072155888</v>
      </c>
      <c r="B42" s="306">
        <v>1.305530319044527E-2</v>
      </c>
      <c r="C42" s="301"/>
      <c r="D42" s="301"/>
      <c r="E42" s="301"/>
      <c r="F42" s="301"/>
      <c r="G42" s="148">
        <f t="shared" si="0"/>
        <v>1.9320923655536448E-2</v>
      </c>
      <c r="H42" s="273"/>
      <c r="I42" s="278"/>
      <c r="J42" s="279"/>
      <c r="K42" s="279"/>
      <c r="L42" s="270"/>
      <c r="M42" s="269"/>
      <c r="N42" s="270"/>
      <c r="O42" s="271"/>
      <c r="P42" s="271"/>
      <c r="Q42" s="271"/>
      <c r="R42" s="270"/>
      <c r="S42" s="272"/>
      <c r="T42" s="272"/>
    </row>
    <row r="43" spans="1:20" ht="21" customHeight="1" x14ac:dyDescent="0.35">
      <c r="A43" s="306">
        <v>2.2620277800116963E-2</v>
      </c>
      <c r="B43" s="306">
        <v>5.5670525557250045E-3</v>
      </c>
      <c r="C43" s="301"/>
      <c r="D43" s="301"/>
      <c r="E43" s="301"/>
      <c r="F43" s="301"/>
      <c r="G43" s="148">
        <f t="shared" si="0"/>
        <v>0.22252367926590547</v>
      </c>
      <c r="H43" s="273"/>
      <c r="I43" s="278"/>
      <c r="J43" s="279"/>
      <c r="K43" s="279"/>
      <c r="L43" s="270"/>
      <c r="M43" s="269"/>
      <c r="N43" s="270"/>
      <c r="O43" s="271"/>
      <c r="P43" s="271"/>
      <c r="Q43" s="271"/>
      <c r="R43" s="270"/>
      <c r="S43" s="272"/>
      <c r="T43" s="272"/>
    </row>
    <row r="44" spans="1:20" ht="21" customHeight="1" x14ac:dyDescent="0.35">
      <c r="A44" s="306">
        <v>0.52037518136034044</v>
      </c>
      <c r="B44" s="306">
        <v>2.7599276194605324E-2</v>
      </c>
      <c r="C44" s="301"/>
      <c r="D44" s="301"/>
      <c r="E44" s="301"/>
      <c r="F44" s="301"/>
      <c r="G44" s="148">
        <f t="shared" si="0"/>
        <v>0.27523122429431801</v>
      </c>
      <c r="H44" s="273"/>
      <c r="I44" s="278"/>
      <c r="J44" s="279"/>
      <c r="K44" s="279"/>
      <c r="L44" s="270"/>
      <c r="M44" s="269"/>
      <c r="N44" s="270"/>
      <c r="O44" s="271"/>
      <c r="P44" s="271"/>
      <c r="Q44" s="271"/>
      <c r="R44" s="270"/>
      <c r="S44" s="272"/>
      <c r="T44" s="272"/>
    </row>
    <row r="45" spans="1:20" ht="21" customHeight="1" x14ac:dyDescent="0.35">
      <c r="A45" s="306">
        <v>0.24420988070692351</v>
      </c>
      <c r="B45" s="306">
        <v>1.2134536831716466E-2</v>
      </c>
      <c r="C45" s="301"/>
      <c r="D45" s="301"/>
      <c r="E45" s="301"/>
      <c r="F45" s="301"/>
      <c r="G45" s="148">
        <f t="shared" si="0"/>
        <v>9.3407635909892317E-4</v>
      </c>
      <c r="H45" s="273"/>
      <c r="I45" s="278"/>
      <c r="J45" s="272"/>
      <c r="K45" s="272"/>
      <c r="L45" s="280"/>
      <c r="M45" s="280"/>
      <c r="N45" s="280"/>
      <c r="O45" s="280"/>
      <c r="P45" s="280"/>
      <c r="Q45" s="280"/>
      <c r="R45" s="280"/>
      <c r="S45" s="280"/>
      <c r="T45" s="280"/>
    </row>
    <row r="46" spans="1:20" ht="21" customHeight="1" x14ac:dyDescent="0.35">
      <c r="A46" s="306">
        <v>0.34064340846865149</v>
      </c>
      <c r="B46" s="306">
        <v>1.6841258465477352E-2</v>
      </c>
      <c r="C46" s="301"/>
      <c r="D46" s="301"/>
      <c r="E46" s="301"/>
      <c r="F46" s="301"/>
      <c r="G46" s="148">
        <f t="shared" si="0"/>
        <v>9.5499451402629054E-2</v>
      </c>
      <c r="H46" s="273"/>
      <c r="I46" s="278"/>
      <c r="J46" s="272"/>
      <c r="K46" s="272"/>
      <c r="L46" s="280"/>
      <c r="M46" s="280"/>
      <c r="N46" s="280"/>
      <c r="O46" s="280"/>
      <c r="P46" s="280"/>
      <c r="Q46" s="280"/>
      <c r="R46" s="280"/>
      <c r="S46" s="280"/>
      <c r="T46" s="280"/>
    </row>
    <row r="47" spans="1:20" ht="21" customHeight="1" x14ac:dyDescent="0.35">
      <c r="A47" s="306">
        <v>0.52235265850005641</v>
      </c>
      <c r="B47" s="306">
        <v>2.7728152674455324E-2</v>
      </c>
      <c r="C47" s="301"/>
      <c r="D47" s="301"/>
      <c r="E47" s="301"/>
      <c r="F47" s="301"/>
      <c r="G47" s="148">
        <f t="shared" si="0"/>
        <v>0.27720870143403398</v>
      </c>
      <c r="H47" s="273"/>
      <c r="I47" s="278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</row>
    <row r="48" spans="1:20" ht="21" customHeight="1" x14ac:dyDescent="0.35">
      <c r="A48" s="306">
        <v>0.51033761134520439</v>
      </c>
      <c r="B48" s="306">
        <v>2.6932508396980252E-2</v>
      </c>
      <c r="C48" s="301"/>
      <c r="D48" s="301"/>
      <c r="E48" s="301"/>
      <c r="F48" s="301"/>
      <c r="G48" s="148">
        <f t="shared" si="0"/>
        <v>0.26519365427918196</v>
      </c>
      <c r="H48" s="273"/>
      <c r="I48" s="278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</row>
    <row r="49" spans="1:20" ht="21" customHeight="1" x14ac:dyDescent="0.3">
      <c r="A49" s="306">
        <v>0.44348453767482338</v>
      </c>
      <c r="B49" s="306">
        <v>2.2695492127472992E-2</v>
      </c>
      <c r="C49" s="301"/>
      <c r="D49" s="301"/>
      <c r="E49" s="301"/>
      <c r="F49" s="301"/>
      <c r="G49" s="148">
        <f t="shared" si="0"/>
        <v>0.19834058060880094</v>
      </c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</row>
    <row r="50" spans="1:20" ht="21" customHeight="1" x14ac:dyDescent="0.3">
      <c r="A50" s="306">
        <v>0.48048702043255437</v>
      </c>
      <c r="B50" s="306">
        <v>2.5016779273112154E-2</v>
      </c>
      <c r="C50" s="301"/>
      <c r="D50" s="301"/>
      <c r="E50" s="301"/>
      <c r="F50" s="301"/>
      <c r="G50" s="148">
        <f t="shared" si="0"/>
        <v>0.23534306336653193</v>
      </c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</row>
    <row r="51" spans="1:20" ht="21" customHeight="1" x14ac:dyDescent="0.35">
      <c r="A51" s="306">
        <v>0.48395160355976036</v>
      </c>
      <c r="B51" s="306">
        <v>2.5224940262908075E-2</v>
      </c>
      <c r="C51" s="301"/>
      <c r="D51" s="301"/>
      <c r="E51" s="301"/>
      <c r="F51" s="301"/>
      <c r="G51" s="148">
        <f t="shared" si="0"/>
        <v>0.23880764649373792</v>
      </c>
      <c r="H51" s="274"/>
      <c r="I51" s="261"/>
      <c r="J51" s="261"/>
      <c r="K51" s="261"/>
      <c r="L51" s="275"/>
      <c r="M51" s="276"/>
      <c r="N51" s="277"/>
      <c r="O51" s="277"/>
      <c r="P51" s="268"/>
      <c r="Q51" s="268"/>
      <c r="R51" s="268"/>
      <c r="S51" s="268"/>
      <c r="T51" s="268"/>
    </row>
    <row r="52" spans="1:20" ht="21" customHeight="1" x14ac:dyDescent="0.35">
      <c r="A52" s="306">
        <v>5.076017500805189E-2</v>
      </c>
      <c r="B52" s="306">
        <v>5.9434590601823139E-3</v>
      </c>
      <c r="C52" s="301"/>
      <c r="D52" s="301"/>
      <c r="E52" s="301"/>
      <c r="F52" s="301"/>
      <c r="G52" s="148">
        <f t="shared" si="0"/>
        <v>0.19438378205797055</v>
      </c>
      <c r="H52" s="273"/>
      <c r="I52" s="278"/>
      <c r="J52" s="279"/>
      <c r="K52" s="279"/>
      <c r="L52" s="270"/>
      <c r="M52" s="269"/>
      <c r="N52" s="270"/>
      <c r="O52" s="271"/>
      <c r="P52" s="271"/>
      <c r="Q52" s="271"/>
      <c r="R52" s="270"/>
      <c r="S52" s="272"/>
      <c r="T52" s="272"/>
    </row>
    <row r="53" spans="1:20" ht="21" customHeight="1" x14ac:dyDescent="0.35">
      <c r="A53" s="306">
        <v>1.9935846815687334E-2</v>
      </c>
      <c r="B53" s="306">
        <v>5.5156679730092922E-3</v>
      </c>
      <c r="C53" s="301"/>
      <c r="D53" s="301"/>
      <c r="E53" s="301"/>
      <c r="F53" s="301"/>
      <c r="G53" s="148">
        <f t="shared" si="0"/>
        <v>0.2252081102503351</v>
      </c>
      <c r="H53" s="273"/>
      <c r="I53" s="278"/>
      <c r="J53" s="279"/>
      <c r="K53" s="279"/>
      <c r="L53" s="270"/>
      <c r="M53" s="269"/>
      <c r="N53" s="270"/>
      <c r="O53" s="271"/>
      <c r="P53" s="271"/>
      <c r="Q53" s="271"/>
      <c r="R53" s="270"/>
      <c r="S53" s="272"/>
      <c r="T53" s="272"/>
    </row>
    <row r="54" spans="1:20" ht="21" customHeight="1" x14ac:dyDescent="0.35">
      <c r="A54" s="306">
        <v>0.44408640405351579</v>
      </c>
      <c r="B54" s="306">
        <v>2.2739501525585102E-2</v>
      </c>
      <c r="C54" s="301"/>
      <c r="D54" s="301"/>
      <c r="E54" s="301"/>
      <c r="F54" s="301"/>
      <c r="G54" s="148">
        <f t="shared" si="0"/>
        <v>0.19894244698749336</v>
      </c>
      <c r="H54" s="273"/>
      <c r="I54" s="278"/>
      <c r="J54" s="279"/>
      <c r="K54" s="279"/>
      <c r="L54" s="270"/>
      <c r="M54" s="269"/>
      <c r="N54" s="270"/>
      <c r="O54" s="271"/>
      <c r="P54" s="271"/>
      <c r="Q54" s="271"/>
      <c r="R54" s="270"/>
      <c r="S54" s="272"/>
      <c r="T54" s="272"/>
    </row>
    <row r="55" spans="1:20" ht="21" customHeight="1" x14ac:dyDescent="0.35">
      <c r="A55" s="306">
        <v>1.8263940170764957E-2</v>
      </c>
      <c r="B55" s="306">
        <v>5.5050522797241343E-3</v>
      </c>
      <c r="C55" s="301"/>
      <c r="D55" s="301"/>
      <c r="E55" s="301"/>
      <c r="F55" s="301"/>
      <c r="G55" s="148">
        <f t="shared" si="0"/>
        <v>0.22688001689525747</v>
      </c>
      <c r="H55" s="273"/>
      <c r="I55" s="278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</row>
    <row r="56" spans="1:20" ht="21" customHeight="1" x14ac:dyDescent="0.35">
      <c r="A56" s="306">
        <v>0.23478637690908852</v>
      </c>
      <c r="B56" s="306">
        <v>1.172667947955864E-2</v>
      </c>
      <c r="C56" s="301"/>
      <c r="D56" s="301"/>
      <c r="E56" s="301"/>
      <c r="F56" s="301"/>
      <c r="G56" s="148">
        <f t="shared" si="0"/>
        <v>1.0357580156933915E-2</v>
      </c>
      <c r="H56" s="273"/>
      <c r="I56" s="278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</row>
    <row r="57" spans="1:20" ht="21" customHeight="1" x14ac:dyDescent="0.35">
      <c r="A57" s="306">
        <v>0.56344145358995801</v>
      </c>
      <c r="B57" s="306">
        <v>3.0545812276479688E-2</v>
      </c>
      <c r="C57" s="301"/>
      <c r="D57" s="301"/>
      <c r="E57" s="301"/>
      <c r="F57" s="301"/>
      <c r="G57" s="148">
        <f t="shared" si="0"/>
        <v>0.31829749652393557</v>
      </c>
      <c r="H57" s="273"/>
      <c r="I57" s="278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</row>
    <row r="58" spans="1:20" ht="21" customHeight="1" x14ac:dyDescent="0.35">
      <c r="A58" s="306">
        <v>0.24607803342512133</v>
      </c>
      <c r="B58" s="306">
        <v>1.2220729950225538E-2</v>
      </c>
      <c r="C58" s="301"/>
      <c r="D58" s="301"/>
      <c r="E58" s="301"/>
      <c r="F58" s="301"/>
      <c r="G58" s="148">
        <f t="shared" si="0"/>
        <v>9.3407635909889541E-4</v>
      </c>
      <c r="H58" s="273"/>
      <c r="I58" s="278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</row>
    <row r="59" spans="1:20" ht="21" customHeight="1" x14ac:dyDescent="0.3">
      <c r="A59" s="306">
        <v>0.27128754986115472</v>
      </c>
      <c r="B59" s="306">
        <v>1.3376572810163143E-2</v>
      </c>
      <c r="C59" s="301"/>
      <c r="D59" s="301"/>
      <c r="E59" s="301"/>
      <c r="F59" s="301"/>
      <c r="G59" s="148">
        <f t="shared" si="0"/>
        <v>2.6143592795132287E-2</v>
      </c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</row>
    <row r="60" spans="1:20" ht="21" customHeight="1" x14ac:dyDescent="0.3">
      <c r="A60" s="306">
        <v>1.371690760331414E-2</v>
      </c>
      <c r="B60" s="306">
        <v>5.4562257767567643E-3</v>
      </c>
      <c r="C60" s="301"/>
      <c r="D60" s="301"/>
      <c r="E60" s="301"/>
      <c r="F60" s="301"/>
      <c r="G60" s="148">
        <f t="shared" si="0"/>
        <v>0.23142704946270828</v>
      </c>
    </row>
    <row r="61" spans="1:20" ht="21" customHeight="1" x14ac:dyDescent="0.3">
      <c r="A61" s="306">
        <v>2.2564233991503792E-2</v>
      </c>
      <c r="B61" s="306">
        <v>5.5497744640424463E-3</v>
      </c>
      <c r="C61" s="301"/>
      <c r="D61" s="301"/>
      <c r="E61" s="301"/>
      <c r="F61" s="301"/>
      <c r="G61" s="148">
        <f t="shared" si="0"/>
        <v>0.22257972307451865</v>
      </c>
    </row>
    <row r="62" spans="1:20" ht="21" customHeight="1" x14ac:dyDescent="0.3">
      <c r="A62" s="306">
        <v>0.27249804796909116</v>
      </c>
      <c r="B62" s="306">
        <v>1.3438641368048385E-2</v>
      </c>
      <c r="C62" s="301"/>
      <c r="D62" s="301"/>
      <c r="E62" s="301"/>
      <c r="F62" s="301"/>
      <c r="G62" s="148">
        <f t="shared" si="0"/>
        <v>2.7354090903068728E-2</v>
      </c>
    </row>
    <row r="63" spans="1:20" ht="21" customHeight="1" x14ac:dyDescent="0.3">
      <c r="A63" s="306">
        <v>0.25478044352134049</v>
      </c>
      <c r="B63" s="306">
        <v>1.2620143038783877E-2</v>
      </c>
      <c r="C63" s="301"/>
      <c r="D63" s="301"/>
      <c r="E63" s="301"/>
      <c r="F63" s="301"/>
      <c r="G63" s="148">
        <f t="shared" si="0"/>
        <v>9.6364864553180607E-3</v>
      </c>
    </row>
    <row r="64" spans="1:20" ht="21" customHeight="1" x14ac:dyDescent="0.3">
      <c r="A64" s="306">
        <v>0.44388573365939438</v>
      </c>
      <c r="B64" s="306">
        <v>2.2767794883116522E-2</v>
      </c>
      <c r="C64" s="301"/>
      <c r="D64" s="301"/>
      <c r="E64" s="301"/>
      <c r="F64" s="301"/>
      <c r="G64" s="148">
        <f t="shared" si="0"/>
        <v>0.19874177659337194</v>
      </c>
    </row>
    <row r="65" spans="1:7" ht="21" customHeight="1" x14ac:dyDescent="0.3">
      <c r="A65" s="306">
        <v>0.4527611464416183</v>
      </c>
      <c r="B65" s="306">
        <v>2.3299524888973369E-2</v>
      </c>
      <c r="C65" s="301"/>
      <c r="D65" s="301"/>
      <c r="E65" s="301"/>
      <c r="F65" s="301"/>
      <c r="G65" s="148">
        <f t="shared" si="0"/>
        <v>0.20761718937559587</v>
      </c>
    </row>
    <row r="66" spans="1:7" ht="21" customHeight="1" x14ac:dyDescent="0.3">
      <c r="A66" s="306">
        <v>0.50256233611560108</v>
      </c>
      <c r="B66" s="306">
        <v>2.6462656622151772E-2</v>
      </c>
      <c r="C66" s="301"/>
      <c r="D66" s="301"/>
      <c r="E66" s="301"/>
      <c r="F66" s="301"/>
      <c r="G66" s="148">
        <f t="shared" si="0"/>
        <v>0.25741837904957865</v>
      </c>
    </row>
    <row r="67" spans="1:7" ht="21" customHeight="1" x14ac:dyDescent="0.3">
      <c r="A67" s="306">
        <v>0.41267832898841394</v>
      </c>
      <c r="B67" s="306">
        <v>2.0873802450906222E-2</v>
      </c>
      <c r="C67" s="301"/>
      <c r="D67" s="301"/>
      <c r="E67" s="301"/>
      <c r="F67" s="301"/>
      <c r="G67" s="148">
        <f t="shared" si="0"/>
        <v>0.16753437192239151</v>
      </c>
    </row>
    <row r="68" spans="1:7" ht="21" customHeight="1" x14ac:dyDescent="0.3">
      <c r="A68" s="306">
        <v>0.28053675182032761</v>
      </c>
      <c r="B68" s="306">
        <v>1.382753915112858E-2</v>
      </c>
      <c r="C68" s="301"/>
      <c r="D68" s="301"/>
      <c r="E68" s="301"/>
      <c r="F68" s="301"/>
      <c r="G68" s="148">
        <f t="shared" si="0"/>
        <v>3.5392794754305179E-2</v>
      </c>
    </row>
    <row r="69" spans="1:7" ht="21" customHeight="1" x14ac:dyDescent="0.3">
      <c r="A69" s="306">
        <v>0.2821712291978371</v>
      </c>
      <c r="B69" s="306">
        <v>1.3913279878844938E-2</v>
      </c>
      <c r="C69" s="301"/>
      <c r="D69" s="301"/>
      <c r="E69" s="301"/>
      <c r="F69" s="301"/>
      <c r="G69" s="148">
        <f t="shared" si="0"/>
        <v>3.702727213181467E-2</v>
      </c>
    </row>
    <row r="70" spans="1:7" ht="21" customHeight="1" x14ac:dyDescent="0.3">
      <c r="A70" s="306">
        <v>0.28520439289768462</v>
      </c>
      <c r="B70" s="306">
        <v>1.4052689226821921E-2</v>
      </c>
      <c r="C70" s="301"/>
      <c r="D70" s="301"/>
      <c r="E70" s="301"/>
      <c r="F70" s="301"/>
      <c r="G70" s="148">
        <f t="shared" si="0"/>
        <v>4.0060435831662189E-2</v>
      </c>
    </row>
    <row r="71" spans="1:7" ht="21" customHeight="1" x14ac:dyDescent="0.3">
      <c r="A71" s="306">
        <v>0.51774550080858117</v>
      </c>
      <c r="B71" s="306">
        <v>2.7426505356770822E-2</v>
      </c>
      <c r="C71" s="301"/>
      <c r="D71" s="301"/>
      <c r="E71" s="301"/>
      <c r="F71" s="301"/>
      <c r="G71" s="148">
        <f t="shared" si="0"/>
        <v>0.27260154374255874</v>
      </c>
    </row>
    <row r="72" spans="1:7" ht="21" customHeight="1" x14ac:dyDescent="0.3">
      <c r="A72" s="306">
        <v>0.42729838596754111</v>
      </c>
      <c r="B72" s="306">
        <v>2.1745763179103959E-2</v>
      </c>
      <c r="C72" s="301"/>
      <c r="D72" s="301"/>
      <c r="E72" s="301"/>
      <c r="F72" s="301"/>
      <c r="G72" s="148">
        <f t="shared" si="0"/>
        <v>0.18215442890151867</v>
      </c>
    </row>
    <row r="73" spans="1:7" ht="21" customHeight="1" x14ac:dyDescent="0.3">
      <c r="A73" s="306">
        <v>0.40738229368017426</v>
      </c>
      <c r="B73" s="306">
        <v>2.0564053732625424E-2</v>
      </c>
      <c r="C73" s="301"/>
      <c r="D73" s="301"/>
      <c r="E73" s="301"/>
      <c r="F73" s="301"/>
      <c r="G73" s="148">
        <f t="shared" si="0"/>
        <v>0.16223833661415182</v>
      </c>
    </row>
    <row r="74" spans="1:7" ht="21" customHeight="1" x14ac:dyDescent="0.3">
      <c r="A74" s="306">
        <v>0.43699204802906683</v>
      </c>
      <c r="B74" s="306">
        <v>2.2319649942820544E-2</v>
      </c>
      <c r="C74" s="301"/>
      <c r="D74" s="301"/>
      <c r="E74" s="301"/>
      <c r="F74" s="301"/>
      <c r="G74" s="148">
        <f t="shared" si="0"/>
        <v>0.19184809096304439</v>
      </c>
    </row>
    <row r="75" spans="1:7" ht="21" customHeight="1" x14ac:dyDescent="0.3">
      <c r="A75" s="306">
        <v>0.50968699810982032</v>
      </c>
      <c r="B75" s="306">
        <v>2.692558850372551E-2</v>
      </c>
      <c r="C75" s="301"/>
      <c r="D75" s="301"/>
      <c r="E75" s="301"/>
      <c r="F75" s="301"/>
      <c r="G75" s="148">
        <f t="shared" si="0"/>
        <v>0.26454304104379789</v>
      </c>
    </row>
    <row r="76" spans="1:7" ht="21" customHeight="1" x14ac:dyDescent="0.3">
      <c r="A76" s="306">
        <v>0.52554804131106503</v>
      </c>
      <c r="B76" s="306">
        <v>2.7956457943172159E-2</v>
      </c>
      <c r="C76" s="301"/>
      <c r="D76" s="301"/>
      <c r="E76" s="301"/>
      <c r="F76" s="301"/>
      <c r="G76" s="148">
        <f t="shared" si="0"/>
        <v>0.2804040842450426</v>
      </c>
    </row>
    <row r="77" spans="1:7" ht="21" customHeight="1" x14ac:dyDescent="0.3">
      <c r="A77" s="306">
        <v>0.72459720527844584</v>
      </c>
      <c r="B77" s="306">
        <v>4.265451259899071E-2</v>
      </c>
      <c r="C77" s="301"/>
      <c r="D77" s="301"/>
      <c r="E77" s="301"/>
      <c r="F77" s="301"/>
      <c r="G77" s="148">
        <f t="shared" si="0"/>
        <v>0.47945324821242341</v>
      </c>
    </row>
    <row r="78" spans="1:7" ht="21" customHeight="1" x14ac:dyDescent="0.3">
      <c r="A78" s="306">
        <v>0.52213271744789047</v>
      </c>
      <c r="B78" s="306">
        <v>2.7717526237437153E-2</v>
      </c>
      <c r="C78" s="301"/>
      <c r="D78" s="301"/>
      <c r="E78" s="301"/>
      <c r="F78" s="301"/>
      <c r="G78" s="148">
        <f t="shared" si="0"/>
        <v>0.27698876038186804</v>
      </c>
    </row>
    <row r="79" spans="1:7" ht="21" customHeight="1" x14ac:dyDescent="0.3">
      <c r="A79" s="306">
        <v>0.54260190967241517</v>
      </c>
      <c r="B79" s="306">
        <v>2.9116216115345549E-2</v>
      </c>
      <c r="C79" s="301"/>
      <c r="D79" s="301"/>
      <c r="E79" s="301"/>
      <c r="F79" s="301"/>
      <c r="G79" s="148">
        <f t="shared" si="0"/>
        <v>0.29745795260639274</v>
      </c>
    </row>
    <row r="80" spans="1:7" ht="21" customHeight="1" x14ac:dyDescent="0.3">
      <c r="A80" s="306">
        <v>0.24967197973901564</v>
      </c>
      <c r="B80" s="306">
        <v>1.238352176614123E-2</v>
      </c>
      <c r="C80" s="301"/>
      <c r="D80" s="301"/>
      <c r="E80" s="301"/>
      <c r="F80" s="301"/>
      <c r="G80" s="148">
        <f t="shared" si="0"/>
        <v>4.5280226729932094E-3</v>
      </c>
    </row>
    <row r="81" spans="1:7" ht="21" customHeight="1" x14ac:dyDescent="0.3">
      <c r="A81" s="306">
        <v>3.4709299901780435E-3</v>
      </c>
      <c r="B81" s="306">
        <v>5.3819866375356346E-3</v>
      </c>
      <c r="C81" s="301"/>
      <c r="D81" s="301"/>
      <c r="E81" s="301"/>
      <c r="F81" s="301"/>
      <c r="G81" s="148">
        <f t="shared" si="0"/>
        <v>0.2416730270758444</v>
      </c>
    </row>
    <row r="82" spans="1:7" ht="21" customHeight="1" x14ac:dyDescent="0.3">
      <c r="A82" s="306">
        <v>5.7028294939793925E-3</v>
      </c>
      <c r="B82" s="306">
        <v>5.3959300207682779E-3</v>
      </c>
      <c r="C82" s="301"/>
      <c r="D82" s="301"/>
      <c r="E82" s="301"/>
      <c r="F82" s="301"/>
      <c r="G82" s="148">
        <f t="shared" si="0"/>
        <v>0.23944112757204303</v>
      </c>
    </row>
    <row r="83" spans="1:7" ht="21" customHeight="1" x14ac:dyDescent="0.3">
      <c r="A83" s="306">
        <v>1.1345766303294943E-2</v>
      </c>
      <c r="B83" s="306">
        <v>5.4345492686330111E-3</v>
      </c>
      <c r="C83" s="301"/>
      <c r="D83" s="301"/>
      <c r="E83" s="301"/>
      <c r="F83" s="301"/>
      <c r="G83" s="148">
        <f t="shared" si="0"/>
        <v>0.23379819076272748</v>
      </c>
    </row>
    <row r="84" spans="1:7" ht="21" customHeight="1" x14ac:dyDescent="0.3">
      <c r="A84" s="306">
        <v>1.3554089002121776E-3</v>
      </c>
      <c r="B84" s="306">
        <v>5.3694393930968903E-3</v>
      </c>
      <c r="C84" s="301"/>
      <c r="D84" s="301"/>
      <c r="E84" s="301"/>
      <c r="F84" s="301"/>
      <c r="G84" s="148">
        <f t="shared" ref="G84:G144" si="2">ABS(A84-$A$18)</f>
        <v>0.24378854816581025</v>
      </c>
    </row>
    <row r="85" spans="1:7" ht="21" customHeight="1" x14ac:dyDescent="0.3">
      <c r="A85" s="306">
        <v>1.7318519735459063E-2</v>
      </c>
      <c r="B85" s="306">
        <v>5.4882726706583463E-3</v>
      </c>
      <c r="C85" s="301"/>
      <c r="D85" s="301"/>
      <c r="E85" s="301"/>
      <c r="F85" s="301"/>
      <c r="G85" s="148">
        <f t="shared" si="2"/>
        <v>0.22782543733056337</v>
      </c>
    </row>
    <row r="86" spans="1:7" ht="21" customHeight="1" x14ac:dyDescent="0.3">
      <c r="A86" s="306">
        <v>0.22920534555065519</v>
      </c>
      <c r="B86" s="306">
        <v>1.1474004359674344E-2</v>
      </c>
      <c r="C86" s="301"/>
      <c r="D86" s="301"/>
      <c r="E86" s="301"/>
      <c r="F86" s="301"/>
      <c r="G86" s="148">
        <f t="shared" si="2"/>
        <v>1.593861151536724E-2</v>
      </c>
    </row>
    <row r="87" spans="1:7" ht="21" customHeight="1" x14ac:dyDescent="0.3">
      <c r="A87" s="306">
        <v>7.9975967174327148E-3</v>
      </c>
      <c r="B87" s="306">
        <v>5.4154181829004127E-3</v>
      </c>
      <c r="C87" s="301"/>
      <c r="D87" s="301"/>
      <c r="E87" s="301"/>
      <c r="F87" s="301"/>
      <c r="G87" s="148">
        <f t="shared" si="2"/>
        <v>0.23714636034858971</v>
      </c>
    </row>
    <row r="88" spans="1:7" ht="21" customHeight="1" x14ac:dyDescent="0.3">
      <c r="A88" s="306">
        <v>4.5586484900075027E-3</v>
      </c>
      <c r="B88" s="306">
        <v>5.3882444964560147E-3</v>
      </c>
      <c r="C88" s="301"/>
      <c r="D88" s="301"/>
      <c r="E88" s="301"/>
      <c r="F88" s="301"/>
      <c r="G88" s="148">
        <f t="shared" si="2"/>
        <v>0.24058530857601493</v>
      </c>
    </row>
    <row r="89" spans="1:7" ht="21" customHeight="1" x14ac:dyDescent="0.3">
      <c r="A89" s="306">
        <v>0.91142367689864745</v>
      </c>
      <c r="B89" s="306">
        <v>5.893360337526217E-2</v>
      </c>
      <c r="C89" s="301"/>
      <c r="D89" s="301"/>
      <c r="E89" s="301"/>
      <c r="F89" s="301"/>
      <c r="G89" s="148">
        <f t="shared" si="2"/>
        <v>0.66627971983262502</v>
      </c>
    </row>
    <row r="90" spans="1:7" ht="21" customHeight="1" x14ac:dyDescent="0.3">
      <c r="A90" s="306">
        <v>0.24010114914626965</v>
      </c>
      <c r="B90" s="306">
        <v>1.1948093127714981E-2</v>
      </c>
      <c r="C90" s="301"/>
      <c r="D90" s="301"/>
      <c r="E90" s="301"/>
      <c r="F90" s="301"/>
      <c r="G90" s="148">
        <f t="shared" si="2"/>
        <v>5.0428079197527842E-3</v>
      </c>
    </row>
    <row r="91" spans="1:7" ht="21" customHeight="1" x14ac:dyDescent="0.3">
      <c r="A91" s="306">
        <v>9.2030388968852832E-3</v>
      </c>
      <c r="B91" s="306">
        <v>5.4225131915037698E-3</v>
      </c>
      <c r="C91" s="301"/>
      <c r="D91" s="301"/>
      <c r="E91" s="301"/>
      <c r="F91" s="301"/>
      <c r="G91" s="148">
        <f t="shared" si="2"/>
        <v>0.23594091816913715</v>
      </c>
    </row>
    <row r="92" spans="1:7" ht="21" customHeight="1" x14ac:dyDescent="0.3">
      <c r="A92" s="306">
        <v>7.6692486298238025E-3</v>
      </c>
      <c r="B92" s="306">
        <v>5.4083021884243545E-3</v>
      </c>
      <c r="C92" s="301"/>
      <c r="D92" s="301"/>
      <c r="E92" s="301"/>
      <c r="F92" s="301"/>
      <c r="G92" s="148">
        <f t="shared" si="2"/>
        <v>0.23747470843619864</v>
      </c>
    </row>
    <row r="93" spans="1:7" ht="21" customHeight="1" x14ac:dyDescent="0.3">
      <c r="A93" s="306">
        <v>5.2666998197964448E-3</v>
      </c>
      <c r="B93" s="306">
        <v>5.3929780133079863E-3</v>
      </c>
      <c r="C93" s="301"/>
      <c r="D93" s="301"/>
      <c r="E93" s="301"/>
      <c r="F93" s="301"/>
      <c r="G93" s="148">
        <f t="shared" si="2"/>
        <v>0.23987725724622599</v>
      </c>
    </row>
    <row r="94" spans="1:7" ht="21" customHeight="1" x14ac:dyDescent="0.3">
      <c r="A94" s="306">
        <v>1.3330287796846961E-2</v>
      </c>
      <c r="B94" s="306">
        <v>5.4497468132021784E-3</v>
      </c>
      <c r="C94" s="301"/>
      <c r="D94" s="301"/>
      <c r="E94" s="301"/>
      <c r="F94" s="301"/>
      <c r="G94" s="148">
        <f t="shared" si="2"/>
        <v>0.23181366926917546</v>
      </c>
    </row>
    <row r="95" spans="1:7" ht="21" customHeight="1" x14ac:dyDescent="0.3">
      <c r="A95" s="306">
        <v>3.090683381443915E-3</v>
      </c>
      <c r="B95" s="306">
        <v>5.3773367027502598E-3</v>
      </c>
      <c r="C95" s="301"/>
      <c r="D95" s="301"/>
      <c r="E95" s="301"/>
      <c r="F95" s="301"/>
      <c r="G95" s="148">
        <f t="shared" si="2"/>
        <v>0.24205327368457852</v>
      </c>
    </row>
    <row r="96" spans="1:7" ht="21" customHeight="1" x14ac:dyDescent="0.3">
      <c r="A96" s="306">
        <v>1.8263940170764957E-2</v>
      </c>
      <c r="B96" s="306">
        <v>5.498188091483642E-3</v>
      </c>
      <c r="C96" s="301"/>
      <c r="D96" s="301"/>
      <c r="E96" s="301"/>
      <c r="F96" s="301"/>
      <c r="G96" s="148">
        <f t="shared" si="2"/>
        <v>0.22688001689525747</v>
      </c>
    </row>
    <row r="97" spans="1:7" ht="21" customHeight="1" x14ac:dyDescent="0.3">
      <c r="A97" s="306">
        <v>2.1682073545742893E-3</v>
      </c>
      <c r="B97" s="306">
        <v>5.3728750569848388E-3</v>
      </c>
      <c r="C97" s="301"/>
      <c r="D97" s="301"/>
      <c r="E97" s="301"/>
      <c r="F97" s="301"/>
      <c r="G97" s="148">
        <f t="shared" si="2"/>
        <v>0.24297574971144814</v>
      </c>
    </row>
    <row r="98" spans="1:7" ht="21" customHeight="1" x14ac:dyDescent="0.3">
      <c r="A98" s="306">
        <v>0.25312614844709602</v>
      </c>
      <c r="B98" s="306">
        <v>1.2527158804948819E-2</v>
      </c>
      <c r="C98" s="301"/>
      <c r="D98" s="301"/>
      <c r="E98" s="301"/>
      <c r="F98" s="301"/>
      <c r="G98" s="148">
        <f t="shared" si="2"/>
        <v>7.9821913810735889E-3</v>
      </c>
    </row>
    <row r="99" spans="1:7" ht="21" customHeight="1" x14ac:dyDescent="0.3">
      <c r="A99" s="306">
        <v>1.3012606466799124E-3</v>
      </c>
      <c r="B99" s="306">
        <v>5.3694271482382702E-3</v>
      </c>
      <c r="C99" s="301"/>
      <c r="D99" s="301"/>
      <c r="E99" s="301"/>
      <c r="F99" s="301"/>
      <c r="G99" s="148">
        <f t="shared" si="2"/>
        <v>0.24384269641934253</v>
      </c>
    </row>
    <row r="100" spans="1:7" ht="21" customHeight="1" x14ac:dyDescent="0.3">
      <c r="A100" s="306">
        <v>1.2471171783120247E-3</v>
      </c>
      <c r="B100" s="306">
        <v>5.3696337380207126E-3</v>
      </c>
      <c r="C100" s="301"/>
      <c r="D100" s="301"/>
      <c r="E100" s="301"/>
      <c r="F100" s="301"/>
      <c r="G100" s="148">
        <f t="shared" si="2"/>
        <v>0.24389683988771041</v>
      </c>
    </row>
    <row r="101" spans="1:7" ht="21" customHeight="1" x14ac:dyDescent="0.3">
      <c r="A101" s="306">
        <v>8.8740480700783796E-3</v>
      </c>
      <c r="B101" s="306">
        <v>5.4195201150872927E-3</v>
      </c>
      <c r="C101" s="301"/>
      <c r="D101" s="301"/>
      <c r="E101" s="301"/>
      <c r="F101" s="301"/>
      <c r="G101" s="148">
        <f t="shared" si="2"/>
        <v>0.23626990899594405</v>
      </c>
    </row>
    <row r="102" spans="1:7" ht="21" customHeight="1" x14ac:dyDescent="0.3">
      <c r="A102" s="306">
        <v>1.2471171783120247E-3</v>
      </c>
      <c r="B102" s="306">
        <v>5.3652116023683843E-3</v>
      </c>
      <c r="C102" s="301"/>
      <c r="D102" s="301"/>
      <c r="E102" s="301"/>
      <c r="F102" s="301"/>
      <c r="G102" s="148">
        <f t="shared" si="2"/>
        <v>0.24389683988771041</v>
      </c>
    </row>
    <row r="103" spans="1:7" ht="21" customHeight="1" x14ac:dyDescent="0.3">
      <c r="A103" s="306">
        <v>6.303013321006576E-3</v>
      </c>
      <c r="B103" s="306">
        <v>5.4001798482032678E-3</v>
      </c>
      <c r="C103" s="301"/>
      <c r="D103" s="301"/>
      <c r="E103" s="301"/>
      <c r="F103" s="301"/>
      <c r="G103" s="148">
        <f t="shared" si="2"/>
        <v>0.23884094374501585</v>
      </c>
    </row>
    <row r="104" spans="1:7" ht="21" customHeight="1" x14ac:dyDescent="0.3">
      <c r="A104" s="306">
        <v>4.994275826897974E-3</v>
      </c>
      <c r="B104" s="306">
        <v>5.3875502762667617E-3</v>
      </c>
      <c r="C104" s="301"/>
      <c r="D104" s="301"/>
      <c r="E104" s="301"/>
      <c r="F104" s="301"/>
      <c r="G104" s="148">
        <f t="shared" si="2"/>
        <v>0.24014968123912445</v>
      </c>
    </row>
    <row r="105" spans="1:7" ht="21" customHeight="1" x14ac:dyDescent="0.3">
      <c r="A105" s="306">
        <v>1.1929784944742152E-3</v>
      </c>
      <c r="B105" s="306">
        <v>5.3680796636443387E-3</v>
      </c>
      <c r="C105" s="301"/>
      <c r="D105" s="301"/>
      <c r="E105" s="301"/>
      <c r="F105" s="301"/>
      <c r="G105" s="148">
        <f t="shared" si="2"/>
        <v>0.24395097857154821</v>
      </c>
    </row>
    <row r="106" spans="1:7" ht="21" customHeight="1" x14ac:dyDescent="0.3">
      <c r="A106" s="306">
        <v>5.2122053602439468E-3</v>
      </c>
      <c r="B106" s="306">
        <v>5.3904459255085871E-3</v>
      </c>
      <c r="C106" s="301"/>
      <c r="D106" s="301"/>
      <c r="E106" s="301"/>
      <c r="F106" s="301"/>
      <c r="G106" s="148">
        <f t="shared" si="2"/>
        <v>0.23993175170577849</v>
      </c>
    </row>
    <row r="107" spans="1:7" ht="21" customHeight="1" x14ac:dyDescent="0.3">
      <c r="A107" s="306">
        <v>1.3012606466799124E-3</v>
      </c>
      <c r="B107" s="306">
        <v>5.3691024073224507E-3</v>
      </c>
      <c r="C107" s="301"/>
      <c r="D107" s="301"/>
      <c r="E107" s="301"/>
      <c r="F107" s="301"/>
      <c r="G107" s="148">
        <f t="shared" si="2"/>
        <v>0.24384269641934253</v>
      </c>
    </row>
    <row r="108" spans="1:7" ht="21" customHeight="1" x14ac:dyDescent="0.3">
      <c r="A108" s="306">
        <v>8.1618364170773453E-3</v>
      </c>
      <c r="B108" s="306">
        <v>5.4094671860233064E-3</v>
      </c>
      <c r="C108" s="301"/>
      <c r="D108" s="301"/>
      <c r="E108" s="301"/>
      <c r="F108" s="301"/>
      <c r="G108" s="148">
        <f t="shared" si="2"/>
        <v>0.23698212064894508</v>
      </c>
    </row>
    <row r="109" spans="1:7" ht="21" customHeight="1" x14ac:dyDescent="0.3">
      <c r="A109" s="306">
        <v>4.0145483889529286E-3</v>
      </c>
      <c r="B109" s="306">
        <v>5.3826633340707912E-3</v>
      </c>
      <c r="C109" s="301"/>
      <c r="D109" s="301"/>
      <c r="E109" s="301"/>
      <c r="F109" s="301"/>
      <c r="G109" s="148">
        <f t="shared" si="2"/>
        <v>0.2411294086770695</v>
      </c>
    </row>
    <row r="110" spans="1:7" ht="21" customHeight="1" x14ac:dyDescent="0.3">
      <c r="A110" s="306">
        <v>1.7345807128434211E-3</v>
      </c>
      <c r="B110" s="306">
        <v>5.3678490667545525E-3</v>
      </c>
      <c r="C110" s="301"/>
      <c r="D110" s="301"/>
      <c r="E110" s="301"/>
      <c r="F110" s="301"/>
      <c r="G110" s="148">
        <f t="shared" si="2"/>
        <v>0.24340937635317902</v>
      </c>
    </row>
    <row r="111" spans="1:7" ht="21" customHeight="1" x14ac:dyDescent="0.3">
      <c r="A111" s="306">
        <v>4.2865381866880369E-3</v>
      </c>
      <c r="B111" s="306">
        <v>5.3902964496693765E-3</v>
      </c>
      <c r="C111" s="301"/>
      <c r="D111" s="301"/>
      <c r="E111" s="301"/>
      <c r="F111" s="301"/>
      <c r="G111" s="148">
        <f t="shared" si="2"/>
        <v>0.2408574188793344</v>
      </c>
    </row>
    <row r="112" spans="1:7" ht="21" customHeight="1" x14ac:dyDescent="0.3">
      <c r="A112" s="306">
        <v>3.090683381443915E-3</v>
      </c>
      <c r="B112" s="306">
        <v>5.376804548609523E-3</v>
      </c>
      <c r="C112" s="301"/>
      <c r="D112" s="301"/>
      <c r="E112" s="301"/>
      <c r="F112" s="301"/>
      <c r="G112" s="148">
        <f t="shared" si="2"/>
        <v>0.24205327368457852</v>
      </c>
    </row>
    <row r="113" spans="1:7" ht="21" customHeight="1" x14ac:dyDescent="0.3">
      <c r="A113" s="306">
        <v>3.8514123196960377E-3</v>
      </c>
      <c r="B113" s="306">
        <v>5.3922622330096499E-3</v>
      </c>
      <c r="C113" s="301"/>
      <c r="D113" s="301"/>
      <c r="E113" s="301"/>
      <c r="F113" s="301"/>
      <c r="G113" s="148">
        <f t="shared" si="2"/>
        <v>0.24129254474632639</v>
      </c>
    </row>
    <row r="114" spans="1:7" ht="21" customHeight="1" x14ac:dyDescent="0.3">
      <c r="A114" s="306">
        <v>0.41470953345671974</v>
      </c>
      <c r="B114" s="306">
        <v>2.0980252638536555E-2</v>
      </c>
      <c r="C114" s="301"/>
      <c r="D114" s="301"/>
      <c r="E114" s="301"/>
      <c r="F114" s="301"/>
      <c r="G114" s="148">
        <f t="shared" si="2"/>
        <v>0.1695655763906973</v>
      </c>
    </row>
    <row r="115" spans="1:7" ht="21" customHeight="1" x14ac:dyDescent="0.3">
      <c r="A115" s="306">
        <v>7.1770545152528035E-3</v>
      </c>
      <c r="B115" s="306">
        <v>5.4045074417256077E-3</v>
      </c>
      <c r="C115" s="301"/>
      <c r="D115" s="301"/>
      <c r="E115" s="301"/>
      <c r="F115" s="301"/>
      <c r="G115" s="148">
        <f t="shared" si="2"/>
        <v>0.23796690255076963</v>
      </c>
    </row>
    <row r="116" spans="1:7" ht="21" customHeight="1" x14ac:dyDescent="0.3">
      <c r="A116" s="306">
        <v>0.30425242480499692</v>
      </c>
      <c r="B116" s="306">
        <v>1.4963279383390366E-2</v>
      </c>
      <c r="C116" s="301"/>
      <c r="D116" s="301"/>
      <c r="E116" s="301"/>
      <c r="F116" s="301"/>
      <c r="G116" s="148">
        <f t="shared" si="2"/>
        <v>5.9108467738974491E-2</v>
      </c>
    </row>
    <row r="117" spans="1:7" ht="21" customHeight="1" x14ac:dyDescent="0.3">
      <c r="A117" s="306">
        <v>0.2397919892408388</v>
      </c>
      <c r="B117" s="306">
        <v>1.1938855905062678E-2</v>
      </c>
      <c r="C117" s="301"/>
      <c r="D117" s="301"/>
      <c r="E117" s="301"/>
      <c r="F117" s="301"/>
      <c r="G117" s="148">
        <f t="shared" si="2"/>
        <v>5.3519678251836289E-3</v>
      </c>
    </row>
    <row r="118" spans="1:7" ht="21" customHeight="1" x14ac:dyDescent="0.3">
      <c r="A118" s="306">
        <v>0.52015573807733451</v>
      </c>
      <c r="B118" s="306">
        <v>2.7582682087600421E-2</v>
      </c>
      <c r="C118" s="301"/>
      <c r="D118" s="301"/>
      <c r="E118" s="301"/>
      <c r="F118" s="301"/>
      <c r="G118" s="148">
        <f t="shared" si="2"/>
        <v>0.27501178101131207</v>
      </c>
    </row>
    <row r="119" spans="1:7" ht="21" customHeight="1" x14ac:dyDescent="0.3">
      <c r="A119" s="306">
        <v>0.47256119128171487</v>
      </c>
      <c r="B119" s="306">
        <v>2.4504703727297746E-2</v>
      </c>
      <c r="C119" s="301"/>
      <c r="D119" s="301"/>
      <c r="E119" s="301"/>
      <c r="F119" s="301"/>
      <c r="G119" s="148">
        <f t="shared" si="2"/>
        <v>0.22741723421569243</v>
      </c>
    </row>
    <row r="120" spans="1:7" ht="21" customHeight="1" x14ac:dyDescent="0.3">
      <c r="A120" s="306">
        <v>1.3882675774329712E-2</v>
      </c>
      <c r="B120" s="306">
        <v>5.4590596024370105E-3</v>
      </c>
      <c r="C120" s="301"/>
      <c r="D120" s="301"/>
      <c r="E120" s="301"/>
      <c r="F120" s="301"/>
      <c r="G120" s="148">
        <f t="shared" si="2"/>
        <v>0.23126128129169271</v>
      </c>
    </row>
    <row r="121" spans="1:7" ht="21" customHeight="1" x14ac:dyDescent="0.3">
      <c r="A121" s="160">
        <v>3.3079383068690903E-3</v>
      </c>
      <c r="B121" s="306">
        <v>5.3787751291013708E-3</v>
      </c>
      <c r="C121" s="301"/>
      <c r="D121" s="301"/>
      <c r="E121" s="301"/>
      <c r="F121" s="301"/>
      <c r="G121" s="148">
        <f t="shared" si="2"/>
        <v>0.24183601875915334</v>
      </c>
    </row>
    <row r="122" spans="1:7" ht="21" customHeight="1" x14ac:dyDescent="0.3">
      <c r="A122" s="306">
        <v>0.29321450094668228</v>
      </c>
      <c r="B122" s="306">
        <v>1.4426870514872797E-2</v>
      </c>
      <c r="C122" s="301"/>
      <c r="D122" s="301"/>
      <c r="E122" s="301"/>
      <c r="F122" s="301"/>
      <c r="G122" s="148">
        <f t="shared" si="2"/>
        <v>4.8070543880659844E-2</v>
      </c>
    </row>
    <row r="123" spans="1:7" ht="21" customHeight="1" x14ac:dyDescent="0.3">
      <c r="A123" s="306">
        <v>1.6818585350346072E-2</v>
      </c>
      <c r="B123" s="306">
        <v>5.4858900725604882E-3</v>
      </c>
      <c r="C123" s="301"/>
      <c r="D123" s="301"/>
      <c r="E123" s="301"/>
      <c r="F123" s="301"/>
      <c r="G123" s="148">
        <f t="shared" si="2"/>
        <v>0.22832537171567635</v>
      </c>
    </row>
    <row r="124" spans="1:7" ht="21" customHeight="1" x14ac:dyDescent="0.3">
      <c r="A124" s="306">
        <v>0.24025577807423903</v>
      </c>
      <c r="B124" s="306">
        <v>1.19649746444534E-2</v>
      </c>
      <c r="C124" s="301"/>
      <c r="D124" s="301"/>
      <c r="E124" s="301"/>
      <c r="F124" s="301"/>
      <c r="G124" s="148">
        <f t="shared" si="2"/>
        <v>4.8881789917833984E-3</v>
      </c>
    </row>
    <row r="125" spans="1:7" ht="21" customHeight="1" x14ac:dyDescent="0.3">
      <c r="A125" s="306">
        <v>1.572049778674436E-3</v>
      </c>
      <c r="B125" s="306">
        <v>5.3668815437039608E-3</v>
      </c>
      <c r="C125" s="301"/>
      <c r="D125" s="301"/>
      <c r="E125" s="301"/>
      <c r="F125" s="301"/>
      <c r="G125" s="148">
        <f t="shared" si="2"/>
        <v>0.24357190728734801</v>
      </c>
    </row>
    <row r="126" spans="1:7" ht="21" customHeight="1" x14ac:dyDescent="0.3">
      <c r="A126" s="306">
        <v>2.6021408973427068E-3</v>
      </c>
      <c r="B126" s="306">
        <v>5.379360286726774E-3</v>
      </c>
      <c r="C126" s="301"/>
      <c r="D126" s="301"/>
      <c r="E126" s="301"/>
      <c r="F126" s="301"/>
      <c r="G126" s="148">
        <f t="shared" si="2"/>
        <v>0.24254181616867973</v>
      </c>
    </row>
    <row r="127" spans="1:7" ht="21" customHeight="1" x14ac:dyDescent="0.3">
      <c r="A127" s="306">
        <v>0.49880781450939499</v>
      </c>
      <c r="B127" s="306">
        <v>2.6180161125175249E-2</v>
      </c>
      <c r="C127" s="301"/>
      <c r="D127" s="301"/>
      <c r="E127" s="301"/>
      <c r="F127" s="301"/>
      <c r="G127" s="148">
        <f t="shared" si="2"/>
        <v>0.25366385744337255</v>
      </c>
    </row>
    <row r="128" spans="1:7" ht="21" customHeight="1" x14ac:dyDescent="0.3">
      <c r="A128" s="306">
        <v>0.34934373321336926</v>
      </c>
      <c r="B128" s="306">
        <v>1.7304309100213529E-2</v>
      </c>
      <c r="C128" s="301"/>
      <c r="D128" s="301"/>
      <c r="E128" s="301"/>
      <c r="F128" s="301"/>
      <c r="G128" s="148">
        <f t="shared" si="2"/>
        <v>0.10419977614734682</v>
      </c>
    </row>
    <row r="129" spans="1:7" ht="21" customHeight="1" x14ac:dyDescent="0.3">
      <c r="A129" s="306">
        <v>5.0487509657894721E-3</v>
      </c>
      <c r="B129" s="306">
        <v>5.3931615574584297E-3</v>
      </c>
      <c r="C129" s="301"/>
      <c r="D129" s="301"/>
      <c r="E129" s="301"/>
      <c r="F129" s="301"/>
      <c r="G129" s="148">
        <f t="shared" si="2"/>
        <v>0.24009520610023297</v>
      </c>
    </row>
    <row r="130" spans="1:7" ht="21" customHeight="1" x14ac:dyDescent="0.3">
      <c r="A130" s="306">
        <v>0.50374571058908635</v>
      </c>
      <c r="B130" s="306">
        <v>2.6515823362752718E-2</v>
      </c>
      <c r="C130" s="301"/>
      <c r="D130" s="301"/>
      <c r="E130" s="301"/>
      <c r="F130" s="301"/>
      <c r="G130" s="148">
        <f t="shared" si="2"/>
        <v>0.25860175352306392</v>
      </c>
    </row>
    <row r="131" spans="1:7" ht="21" customHeight="1" x14ac:dyDescent="0.3">
      <c r="A131" s="306">
        <v>0.23547741888732912</v>
      </c>
      <c r="B131" s="306">
        <v>1.1751375455456249E-2</v>
      </c>
      <c r="C131" s="301"/>
      <c r="D131" s="301"/>
      <c r="E131" s="301"/>
      <c r="F131" s="301"/>
      <c r="G131" s="148">
        <f t="shared" si="2"/>
        <v>9.6665381786933124E-3</v>
      </c>
    </row>
    <row r="132" spans="1:7" ht="21" customHeight="1" x14ac:dyDescent="0.3">
      <c r="A132" s="306">
        <v>0.49816582112237018</v>
      </c>
      <c r="B132" s="306">
        <v>2.6152982757331626E-2</v>
      </c>
      <c r="C132" s="301"/>
      <c r="D132" s="301"/>
      <c r="E132" s="301"/>
      <c r="F132" s="301"/>
      <c r="G132" s="148">
        <f t="shared" si="2"/>
        <v>0.25302186405634775</v>
      </c>
    </row>
    <row r="133" spans="1:7" ht="21" customHeight="1" x14ac:dyDescent="0.3">
      <c r="A133" s="306">
        <v>0.21204589619451633</v>
      </c>
      <c r="B133" s="306">
        <v>1.0771927646842804E-2</v>
      </c>
      <c r="C133" s="301"/>
      <c r="D133" s="301"/>
      <c r="E133" s="301"/>
      <c r="F133" s="301"/>
      <c r="G133" s="148">
        <f t="shared" si="2"/>
        <v>3.3098060871506102E-2</v>
      </c>
    </row>
    <row r="134" spans="1:7" ht="21" customHeight="1" x14ac:dyDescent="0.3">
      <c r="A134" s="306">
        <v>0.28998374356596979</v>
      </c>
      <c r="B134" s="306">
        <v>1.4265484517852221E-2</v>
      </c>
      <c r="C134" s="301"/>
      <c r="D134" s="301"/>
      <c r="E134" s="301"/>
      <c r="F134" s="301"/>
      <c r="G134" s="148">
        <f t="shared" si="2"/>
        <v>4.4839786499947354E-2</v>
      </c>
    </row>
    <row r="135" spans="1:7" ht="21" customHeight="1" x14ac:dyDescent="0.3">
      <c r="A135" s="306">
        <v>0.30341059913288027</v>
      </c>
      <c r="B135" s="306">
        <v>1.4925556755427338E-2</v>
      </c>
      <c r="C135" s="301"/>
      <c r="D135" s="301"/>
      <c r="E135" s="301"/>
      <c r="F135" s="301"/>
      <c r="G135" s="148">
        <f t="shared" si="2"/>
        <v>5.8266642066857832E-2</v>
      </c>
    </row>
    <row r="136" spans="1:7" ht="21" customHeight="1" x14ac:dyDescent="0.3">
      <c r="A136" s="306">
        <v>0.28775511329962394</v>
      </c>
      <c r="B136" s="306">
        <v>1.4155387756436757E-2</v>
      </c>
      <c r="C136" s="301"/>
      <c r="D136" s="301"/>
      <c r="E136" s="301"/>
      <c r="F136" s="301"/>
      <c r="G136" s="148">
        <f t="shared" si="2"/>
        <v>4.261115623360151E-2</v>
      </c>
    </row>
    <row r="137" spans="1:7" ht="21" customHeight="1" x14ac:dyDescent="0.3">
      <c r="A137" s="306">
        <v>0.24912394175818645</v>
      </c>
      <c r="B137" s="306">
        <v>1.236427696357938E-2</v>
      </c>
      <c r="C137" s="301"/>
      <c r="D137" s="301"/>
      <c r="E137" s="301"/>
      <c r="F137" s="301"/>
      <c r="G137" s="148">
        <f t="shared" si="2"/>
        <v>3.9799846921640125E-3</v>
      </c>
    </row>
    <row r="138" spans="1:7" ht="21" customHeight="1" x14ac:dyDescent="0.3">
      <c r="A138" s="306">
        <v>0.24265670976880824</v>
      </c>
      <c r="B138" s="306">
        <v>1.2061923649764583E-2</v>
      </c>
      <c r="C138" s="301"/>
      <c r="D138" s="301"/>
      <c r="E138" s="301"/>
      <c r="F138" s="301"/>
      <c r="G138" s="148">
        <f t="shared" si="2"/>
        <v>2.4872472972141957E-3</v>
      </c>
    </row>
    <row r="139" spans="1:7" ht="21" customHeight="1" x14ac:dyDescent="0.3">
      <c r="A139" s="306">
        <v>3.8915827590814571E-2</v>
      </c>
      <c r="B139" s="306">
        <v>5.7616289375066821E-3</v>
      </c>
      <c r="C139" s="301"/>
      <c r="D139" s="301"/>
      <c r="E139" s="301"/>
      <c r="F139" s="301"/>
      <c r="G139" s="148">
        <f t="shared" si="2"/>
        <v>0.20622812947520786</v>
      </c>
    </row>
    <row r="140" spans="1:7" ht="21" customHeight="1" x14ac:dyDescent="0.3">
      <c r="A140" s="306">
        <v>0.26103707233817569</v>
      </c>
      <c r="B140" s="306">
        <v>1.2891833490840322E-2</v>
      </c>
      <c r="C140" s="301"/>
      <c r="D140" s="301"/>
      <c r="E140" s="301"/>
      <c r="F140" s="301"/>
      <c r="G140" s="148">
        <f t="shared" si="2"/>
        <v>1.5893115272153258E-2</v>
      </c>
    </row>
    <row r="141" spans="1:7" ht="21" customHeight="1" x14ac:dyDescent="0.3">
      <c r="A141" s="306">
        <v>1.6041709513354305E-2</v>
      </c>
      <c r="B141" s="306">
        <v>5.4794223017871286E-3</v>
      </c>
      <c r="C141" s="301"/>
      <c r="D141" s="301"/>
      <c r="E141" s="301"/>
      <c r="F141" s="301"/>
      <c r="G141" s="148">
        <f t="shared" si="2"/>
        <v>0.22910224755266811</v>
      </c>
    </row>
    <row r="142" spans="1:7" ht="21" customHeight="1" x14ac:dyDescent="0.3">
      <c r="A142" s="306">
        <v>0.1788436389620473</v>
      </c>
      <c r="B142" s="306">
        <v>9.4564229483177671E-3</v>
      </c>
      <c r="C142" s="301"/>
      <c r="D142" s="301"/>
      <c r="E142" s="301"/>
      <c r="F142" s="301"/>
      <c r="G142" s="148">
        <f t="shared" si="2"/>
        <v>6.6300318103975131E-2</v>
      </c>
    </row>
    <row r="143" spans="1:7" ht="21" customHeight="1" x14ac:dyDescent="0.3">
      <c r="A143" s="306">
        <v>0.28882733792489951</v>
      </c>
      <c r="B143" s="306">
        <v>1.4206920808804391E-2</v>
      </c>
      <c r="C143" s="301"/>
      <c r="D143" s="301"/>
      <c r="E143" s="301"/>
      <c r="F143" s="301"/>
      <c r="G143" s="148">
        <f t="shared" si="2"/>
        <v>4.3683380858877074E-2</v>
      </c>
    </row>
    <row r="144" spans="1:7" ht="21" customHeight="1" x14ac:dyDescent="0.3">
      <c r="A144" s="306">
        <v>1.0081206737415294E-2</v>
      </c>
      <c r="B144" s="306">
        <v>5.426746174832622E-3</v>
      </c>
      <c r="C144" s="301"/>
      <c r="D144" s="301"/>
      <c r="E144" s="301"/>
      <c r="F144" s="301"/>
      <c r="G144" s="148">
        <f t="shared" si="2"/>
        <v>0.23506275032860713</v>
      </c>
    </row>
    <row r="145" spans="1:7" ht="21" customHeight="1" x14ac:dyDescent="0.3">
      <c r="A145" s="306">
        <v>0.45672484578838329</v>
      </c>
      <c r="B145" s="306">
        <v>2.3518875383990698E-2</v>
      </c>
      <c r="C145" s="301"/>
      <c r="D145" s="301"/>
      <c r="E145" s="301"/>
      <c r="F145" s="301"/>
      <c r="G145" s="148">
        <f t="shared" ref="G145:G169" si="3">ABS(A145-$A$18)</f>
        <v>0.21158088872236086</v>
      </c>
    </row>
    <row r="146" spans="1:7" ht="21" customHeight="1" x14ac:dyDescent="0.3">
      <c r="A146" s="306">
        <v>0.46368091749634816</v>
      </c>
      <c r="B146" s="306">
        <v>2.3953457933028374E-2</v>
      </c>
      <c r="C146" s="301"/>
      <c r="D146" s="301"/>
      <c r="E146" s="301"/>
      <c r="F146" s="301"/>
      <c r="G146" s="148">
        <f t="shared" si="3"/>
        <v>0.21853696043032572</v>
      </c>
    </row>
    <row r="147" spans="1:7" ht="21" customHeight="1" x14ac:dyDescent="0.3">
      <c r="A147" s="306">
        <v>7.3957588837122263E-3</v>
      </c>
      <c r="B147" s="306">
        <v>5.4040508020929395E-3</v>
      </c>
      <c r="C147" s="301"/>
      <c r="D147" s="301"/>
      <c r="E147" s="301"/>
      <c r="F147" s="301"/>
      <c r="G147" s="148">
        <f t="shared" si="3"/>
        <v>0.23774819818231022</v>
      </c>
    </row>
    <row r="148" spans="1:7" ht="21" customHeight="1" x14ac:dyDescent="0.3">
      <c r="A148" s="306">
        <v>3.4730702695303935E-2</v>
      </c>
      <c r="B148" s="306">
        <v>5.6898105891920424E-3</v>
      </c>
      <c r="C148" s="301"/>
      <c r="D148" s="301"/>
      <c r="E148" s="301"/>
      <c r="F148" s="301"/>
      <c r="G148" s="148">
        <f t="shared" si="3"/>
        <v>0.21041325437071851</v>
      </c>
    </row>
    <row r="149" spans="1:7" ht="21" customHeight="1" x14ac:dyDescent="0.3">
      <c r="A149" s="306">
        <v>1.8597961880997493E-2</v>
      </c>
      <c r="B149" s="306">
        <v>5.5042972833724262E-3</v>
      </c>
      <c r="C149" s="301"/>
      <c r="D149" s="301"/>
      <c r="E149" s="301"/>
      <c r="F149" s="301"/>
      <c r="G149" s="148">
        <f t="shared" si="3"/>
        <v>0.22654599518502494</v>
      </c>
    </row>
    <row r="150" spans="1:7" ht="21" customHeight="1" x14ac:dyDescent="0.3">
      <c r="A150" s="306">
        <v>0.45815228687601112</v>
      </c>
      <c r="B150" s="306">
        <v>2.3604575635898316E-2</v>
      </c>
      <c r="C150" s="301"/>
      <c r="D150" s="301"/>
      <c r="E150" s="301"/>
      <c r="F150" s="301"/>
      <c r="G150" s="148">
        <f t="shared" si="3"/>
        <v>0.21300832980998868</v>
      </c>
    </row>
    <row r="151" spans="1:7" ht="21" customHeight="1" x14ac:dyDescent="0.3">
      <c r="A151" s="306">
        <v>0.5423768390449456</v>
      </c>
      <c r="B151" s="306">
        <v>2.9078212535702395E-2</v>
      </c>
      <c r="C151" s="301"/>
      <c r="D151" s="301"/>
      <c r="E151" s="301"/>
      <c r="F151" s="301"/>
      <c r="G151" s="148">
        <f t="shared" si="3"/>
        <v>0.29723288197892317</v>
      </c>
    </row>
    <row r="152" spans="1:7" ht="21" customHeight="1" x14ac:dyDescent="0.3">
      <c r="A152" s="306">
        <v>0.97405413827933962</v>
      </c>
      <c r="B152" s="306">
        <v>6.4928915788056457E-2</v>
      </c>
      <c r="C152" s="301"/>
      <c r="D152" s="301"/>
      <c r="E152" s="301"/>
      <c r="F152" s="301"/>
      <c r="G152" s="148">
        <f t="shared" si="3"/>
        <v>0.72891018121331719</v>
      </c>
    </row>
    <row r="153" spans="1:7" ht="21" customHeight="1" x14ac:dyDescent="0.3">
      <c r="A153" s="306">
        <v>0.23755447849776856</v>
      </c>
      <c r="B153" s="306">
        <v>1.1848297262894367E-2</v>
      </c>
      <c r="C153" s="301"/>
      <c r="D153" s="301"/>
      <c r="E153" s="301"/>
      <c r="F153" s="301"/>
      <c r="G153" s="148">
        <f t="shared" si="3"/>
        <v>7.5894785682538712E-3</v>
      </c>
    </row>
    <row r="154" spans="1:7" ht="21" customHeight="1" x14ac:dyDescent="0.3">
      <c r="A154" s="306">
        <v>1.8208287342916442E-2</v>
      </c>
      <c r="B154" s="306">
        <v>5.4925948143640033E-3</v>
      </c>
      <c r="C154" s="301"/>
      <c r="D154" s="301"/>
      <c r="E154" s="301"/>
      <c r="F154" s="301"/>
      <c r="G154" s="148">
        <f t="shared" si="3"/>
        <v>0.226935669723106</v>
      </c>
    </row>
    <row r="155" spans="1:7" ht="21" customHeight="1" x14ac:dyDescent="0.3">
      <c r="A155" s="306">
        <v>1.0081206737415294E-2</v>
      </c>
      <c r="B155" s="306">
        <v>5.4310876523080412E-3</v>
      </c>
      <c r="C155" s="301"/>
      <c r="D155" s="301"/>
      <c r="E155" s="301"/>
      <c r="F155" s="301"/>
      <c r="G155" s="148">
        <f t="shared" si="3"/>
        <v>0.23506275032860713</v>
      </c>
    </row>
    <row r="156" spans="1:7" ht="21" customHeight="1" x14ac:dyDescent="0.3">
      <c r="A156" s="306">
        <v>0.47048768232479971</v>
      </c>
      <c r="B156" s="306">
        <v>2.4386126733164988E-2</v>
      </c>
      <c r="C156" s="301"/>
      <c r="D156" s="301"/>
      <c r="E156" s="301"/>
      <c r="F156" s="301"/>
      <c r="G156" s="148">
        <f t="shared" si="3"/>
        <v>0.22534372525877727</v>
      </c>
    </row>
    <row r="157" spans="1:7" ht="21" customHeight="1" x14ac:dyDescent="0.3">
      <c r="A157" s="306">
        <v>0.4570305220483995</v>
      </c>
      <c r="B157" s="306">
        <v>2.353274924742282E-2</v>
      </c>
      <c r="C157" s="301"/>
      <c r="D157" s="301"/>
      <c r="E157" s="301"/>
      <c r="F157" s="301"/>
      <c r="G157" s="148">
        <f t="shared" si="3"/>
        <v>0.21188656498237707</v>
      </c>
    </row>
    <row r="158" spans="1:7" ht="21" customHeight="1" x14ac:dyDescent="0.3">
      <c r="A158" s="306">
        <v>0.44308353464574229</v>
      </c>
      <c r="B158" s="306">
        <v>2.2673955715740067E-2</v>
      </c>
      <c r="C158" s="301"/>
      <c r="D158" s="301"/>
      <c r="E158" s="301"/>
      <c r="F158" s="301"/>
      <c r="G158" s="148">
        <f t="shared" si="3"/>
        <v>0.19793957757971986</v>
      </c>
    </row>
    <row r="159" spans="1:7" ht="21" customHeight="1" x14ac:dyDescent="0.3">
      <c r="A159" s="306">
        <v>0.44730370982710299</v>
      </c>
      <c r="B159" s="306">
        <v>2.2931454031683767E-2</v>
      </c>
      <c r="C159" s="301"/>
      <c r="D159" s="301"/>
      <c r="E159" s="301"/>
      <c r="F159" s="301"/>
      <c r="G159" s="148">
        <f t="shared" si="3"/>
        <v>0.20215975276108056</v>
      </c>
    </row>
    <row r="160" spans="1:7" ht="21" customHeight="1" x14ac:dyDescent="0.3">
      <c r="A160" s="306">
        <v>2.8306777102188582E-2</v>
      </c>
      <c r="B160" s="306">
        <v>5.6029373725095394E-3</v>
      </c>
      <c r="C160" s="301"/>
      <c r="D160" s="301"/>
      <c r="E160" s="301"/>
      <c r="F160" s="301"/>
      <c r="G160" s="148">
        <f t="shared" si="3"/>
        <v>0.21683717996383384</v>
      </c>
    </row>
    <row r="161" spans="1:7" ht="21" customHeight="1" x14ac:dyDescent="0.3">
      <c r="A161" s="306">
        <v>0.76086237025421211</v>
      </c>
      <c r="B161" s="306">
        <v>4.5632081285228339E-2</v>
      </c>
      <c r="C161" s="301"/>
      <c r="D161" s="301"/>
      <c r="E161" s="301"/>
      <c r="F161" s="301"/>
      <c r="G161" s="148">
        <f t="shared" si="3"/>
        <v>0.51571841318818967</v>
      </c>
    </row>
    <row r="162" spans="1:7" ht="21" customHeight="1" x14ac:dyDescent="0.3">
      <c r="A162" s="306">
        <v>0.11839924434672888</v>
      </c>
      <c r="B162" s="306">
        <v>7.456779061866186E-3</v>
      </c>
      <c r="C162" s="301"/>
      <c r="D162" s="301"/>
      <c r="E162" s="301"/>
      <c r="F162" s="301"/>
      <c r="G162" s="148">
        <f t="shared" si="3"/>
        <v>0.12674471271929355</v>
      </c>
    </row>
    <row r="163" spans="1:7" ht="21" customHeight="1" x14ac:dyDescent="0.3">
      <c r="A163" s="306">
        <v>0.28078169725046642</v>
      </c>
      <c r="B163" s="306">
        <v>1.3831017807625242E-2</v>
      </c>
      <c r="C163" s="301"/>
      <c r="D163" s="301"/>
      <c r="E163" s="301"/>
      <c r="F163" s="301"/>
      <c r="G163" s="148">
        <f t="shared" si="3"/>
        <v>3.5637740184443989E-2</v>
      </c>
    </row>
    <row r="164" spans="1:7" ht="21" customHeight="1" x14ac:dyDescent="0.3">
      <c r="A164" s="306">
        <v>0.77114492126594958</v>
      </c>
      <c r="B164" s="306">
        <v>4.6497052853268502E-2</v>
      </c>
      <c r="C164" s="301"/>
      <c r="D164" s="301"/>
      <c r="E164" s="301"/>
      <c r="F164" s="301"/>
      <c r="G164" s="148">
        <f t="shared" si="3"/>
        <v>0.52600096419992715</v>
      </c>
    </row>
    <row r="165" spans="1:7" ht="21" customHeight="1" x14ac:dyDescent="0.3">
      <c r="A165" s="306">
        <v>2.3012725598719096E-2</v>
      </c>
      <c r="B165" s="306">
        <v>5.5464376998751903E-3</v>
      </c>
      <c r="C165" s="301"/>
      <c r="D165" s="301"/>
      <c r="E165" s="301"/>
      <c r="F165" s="301"/>
      <c r="G165" s="148">
        <f t="shared" si="3"/>
        <v>0.22213123146730335</v>
      </c>
    </row>
    <row r="166" spans="1:7" ht="21" customHeight="1" x14ac:dyDescent="0.3">
      <c r="A166" s="306">
        <v>0.12276767050808421</v>
      </c>
      <c r="B166" s="306">
        <v>7.5863140347971116E-3</v>
      </c>
      <c r="C166" s="301"/>
      <c r="D166" s="301"/>
      <c r="E166" s="301"/>
      <c r="F166" s="301"/>
      <c r="G166" s="148">
        <f t="shared" si="3"/>
        <v>0.12237628655793822</v>
      </c>
    </row>
    <row r="167" spans="1:7" ht="21" customHeight="1" x14ac:dyDescent="0.3">
      <c r="A167" s="306">
        <v>0.43928360297131586</v>
      </c>
      <c r="B167" s="306">
        <v>2.2447514715564335E-2</v>
      </c>
      <c r="C167" s="301"/>
      <c r="D167" s="301"/>
      <c r="E167" s="301"/>
      <c r="F167" s="301"/>
      <c r="G167" s="148">
        <f t="shared" si="3"/>
        <v>0.19413964590529342</v>
      </c>
    </row>
    <row r="168" spans="1:7" ht="21" customHeight="1" x14ac:dyDescent="0.3">
      <c r="A168" s="306">
        <v>0.45641928067177495</v>
      </c>
      <c r="B168" s="306">
        <v>2.3502266085740488E-2</v>
      </c>
      <c r="C168" s="301"/>
      <c r="D168" s="301"/>
      <c r="E168" s="301"/>
      <c r="F168" s="301"/>
      <c r="G168" s="148">
        <f t="shared" si="3"/>
        <v>0.21127532360575252</v>
      </c>
    </row>
    <row r="169" spans="1:7" ht="21" customHeight="1" x14ac:dyDescent="0.3">
      <c r="A169" s="306">
        <v>3.3018818881156681E-2</v>
      </c>
      <c r="B169" s="306">
        <v>5.6620767894964676E-3</v>
      </c>
      <c r="C169" s="301"/>
      <c r="D169" s="301"/>
      <c r="E169" s="301"/>
      <c r="F169" s="301"/>
      <c r="G169" s="148">
        <f t="shared" si="3"/>
        <v>0.21212513818486575</v>
      </c>
    </row>
    <row r="170" spans="1:7" ht="21" customHeight="1" x14ac:dyDescent="0.3">
      <c r="A170" s="306">
        <v>1.2999091571470703E-2</v>
      </c>
      <c r="B170" s="306">
        <v>5.4489249479508037E-3</v>
      </c>
      <c r="C170" s="301"/>
      <c r="D170" s="301"/>
      <c r="E170" s="301"/>
      <c r="F170" s="301"/>
      <c r="G170" s="148">
        <f t="shared" ref="G170:G174" si="4">ABS(A170-$A$18)</f>
        <v>0.23214486549455174</v>
      </c>
    </row>
    <row r="171" spans="1:7" ht="21" customHeight="1" x14ac:dyDescent="0.3">
      <c r="A171" s="306">
        <v>4.5042167850529282E-3</v>
      </c>
      <c r="B171" s="306">
        <v>5.3886834673083379E-3</v>
      </c>
      <c r="C171" s="301"/>
      <c r="D171" s="301"/>
      <c r="E171" s="301"/>
      <c r="F171" s="301"/>
      <c r="G171" s="148">
        <f t="shared" si="4"/>
        <v>0.24063974028096952</v>
      </c>
    </row>
    <row r="172" spans="1:7" ht="21" customHeight="1" x14ac:dyDescent="0.3">
      <c r="A172" s="306">
        <v>1.0847154778523167E-3</v>
      </c>
      <c r="B172" s="306">
        <v>5.3836101874855822E-3</v>
      </c>
      <c r="C172" s="301"/>
      <c r="D172" s="301"/>
      <c r="E172" s="301"/>
      <c r="F172" s="301"/>
      <c r="G172" s="148">
        <f t="shared" si="4"/>
        <v>0.24405924158817011</v>
      </c>
    </row>
    <row r="173" spans="1:7" ht="21" customHeight="1" x14ac:dyDescent="0.3">
      <c r="A173" s="306">
        <v>1.2471171783120247E-3</v>
      </c>
      <c r="B173" s="306">
        <v>5.3875516457486221E-3</v>
      </c>
      <c r="C173" s="301"/>
      <c r="D173" s="301"/>
      <c r="E173" s="301"/>
      <c r="F173" s="301"/>
      <c r="G173" s="148">
        <f t="shared" si="4"/>
        <v>0.24389683988771041</v>
      </c>
    </row>
    <row r="174" spans="1:7" ht="21" customHeight="1" x14ac:dyDescent="0.3">
      <c r="A174" s="306">
        <v>0.25817939734601286</v>
      </c>
      <c r="B174" s="306">
        <v>1.2782409463446939E-2</v>
      </c>
      <c r="C174" s="301"/>
      <c r="D174" s="301"/>
      <c r="E174" s="301"/>
      <c r="F174" s="301"/>
      <c r="G174" s="148">
        <f t="shared" si="4"/>
        <v>1.3035440279990429E-2</v>
      </c>
    </row>
    <row r="175" spans="1:7" ht="21" customHeight="1" x14ac:dyDescent="0.3">
      <c r="A175" s="172"/>
      <c r="B175" s="172"/>
      <c r="C175" s="172"/>
      <c r="D175" s="172"/>
      <c r="E175" s="172"/>
      <c r="F175" s="172"/>
      <c r="G175" s="172"/>
    </row>
    <row r="176" spans="1:7" ht="21" customHeight="1" x14ac:dyDescent="0.3">
      <c r="A176" s="172"/>
      <c r="B176" s="172"/>
      <c r="C176" s="172"/>
      <c r="D176" s="172"/>
      <c r="E176" s="172"/>
      <c r="F176" s="172"/>
      <c r="G176" s="172"/>
    </row>
    <row r="177" spans="1:7" ht="21" customHeight="1" x14ac:dyDescent="0.3">
      <c r="A177" s="172"/>
      <c r="B177" s="172"/>
      <c r="C177" s="172"/>
      <c r="D177" s="172"/>
      <c r="E177" s="172"/>
      <c r="F177" s="172"/>
      <c r="G177" s="172"/>
    </row>
    <row r="178" spans="1:7" ht="21" customHeight="1" x14ac:dyDescent="0.3">
      <c r="A178" s="172"/>
      <c r="B178" s="172"/>
      <c r="C178" s="172"/>
      <c r="D178" s="172"/>
      <c r="E178" s="172"/>
      <c r="F178" s="172"/>
      <c r="G178" s="172"/>
    </row>
    <row r="179" spans="1:7" ht="21" customHeight="1" x14ac:dyDescent="0.3">
      <c r="A179" s="172"/>
      <c r="B179" s="172"/>
      <c r="C179" s="172"/>
      <c r="D179" s="172"/>
      <c r="E179" s="172"/>
      <c r="F179" s="172"/>
      <c r="G179" s="172"/>
    </row>
    <row r="180" spans="1:7" ht="21" customHeight="1" x14ac:dyDescent="0.3">
      <c r="A180" s="172"/>
      <c r="B180" s="172"/>
      <c r="C180" s="172"/>
      <c r="D180" s="172"/>
      <c r="E180" s="172"/>
      <c r="F180" s="172"/>
      <c r="G180" s="172"/>
    </row>
    <row r="181" spans="1:7" ht="21" customHeight="1" x14ac:dyDescent="0.3">
      <c r="A181" s="172"/>
      <c r="B181" s="172"/>
      <c r="C181" s="172"/>
      <c r="D181" s="172"/>
      <c r="E181" s="172"/>
      <c r="F181" s="172"/>
      <c r="G181" s="172"/>
    </row>
    <row r="182" spans="1:7" ht="21" customHeight="1" x14ac:dyDescent="0.3">
      <c r="A182" s="172"/>
      <c r="B182" s="172"/>
      <c r="C182" s="172"/>
      <c r="D182" s="172"/>
      <c r="E182" s="172"/>
      <c r="F182" s="172"/>
      <c r="G182" s="172"/>
    </row>
    <row r="183" spans="1:7" ht="21" customHeight="1" x14ac:dyDescent="0.3">
      <c r="A183" s="172"/>
      <c r="B183" s="172"/>
      <c r="C183" s="172"/>
      <c r="D183" s="172"/>
      <c r="E183" s="172"/>
      <c r="F183" s="172"/>
      <c r="G183" s="172"/>
    </row>
    <row r="184" spans="1:7" ht="21" customHeight="1" x14ac:dyDescent="0.3">
      <c r="A184" s="172"/>
      <c r="B184" s="172"/>
      <c r="C184" s="172"/>
      <c r="D184" s="172"/>
      <c r="E184" s="172"/>
      <c r="F184" s="172"/>
      <c r="G184" s="172"/>
    </row>
    <row r="185" spans="1:7" ht="21" customHeight="1" x14ac:dyDescent="0.3">
      <c r="A185" s="172"/>
      <c r="B185" s="172"/>
      <c r="C185" s="172"/>
      <c r="D185" s="172"/>
      <c r="E185" s="172"/>
      <c r="F185" s="172"/>
      <c r="G185" s="172"/>
    </row>
    <row r="186" spans="1:7" ht="21" customHeight="1" x14ac:dyDescent="0.3">
      <c r="A186" s="172"/>
      <c r="B186" s="172"/>
      <c r="C186" s="172"/>
      <c r="D186" s="172"/>
      <c r="E186" s="172"/>
      <c r="F186" s="172"/>
      <c r="G186" s="172"/>
    </row>
    <row r="187" spans="1:7" ht="21" customHeight="1" x14ac:dyDescent="0.3">
      <c r="A187" s="172"/>
      <c r="B187" s="172"/>
      <c r="C187" s="172"/>
      <c r="D187" s="172"/>
      <c r="E187" s="172"/>
      <c r="F187" s="172"/>
      <c r="G187" s="172"/>
    </row>
    <row r="188" spans="1:7" ht="21" customHeight="1" x14ac:dyDescent="0.3">
      <c r="A188" s="172"/>
      <c r="B188" s="172"/>
      <c r="C188" s="172"/>
      <c r="D188" s="172"/>
      <c r="E188" s="172"/>
      <c r="F188" s="172"/>
      <c r="G188" s="172"/>
    </row>
    <row r="189" spans="1:7" ht="21" customHeight="1" x14ac:dyDescent="0.3">
      <c r="A189" s="172"/>
      <c r="B189" s="172"/>
      <c r="C189" s="172"/>
      <c r="D189" s="172"/>
      <c r="E189" s="172"/>
      <c r="F189" s="172"/>
      <c r="G189" s="172"/>
    </row>
    <row r="190" spans="1:7" ht="21" customHeight="1" x14ac:dyDescent="0.3">
      <c r="A190" s="172"/>
      <c r="B190" s="172"/>
      <c r="C190" s="172"/>
      <c r="D190" s="172"/>
      <c r="E190" s="172"/>
      <c r="F190" s="172"/>
      <c r="G190" s="172"/>
    </row>
    <row r="191" spans="1:7" ht="21" customHeight="1" x14ac:dyDescent="0.3">
      <c r="A191" s="172"/>
      <c r="B191" s="172"/>
      <c r="C191" s="172"/>
      <c r="D191" s="172"/>
      <c r="E191" s="172"/>
      <c r="F191" s="172"/>
      <c r="G191" s="172"/>
    </row>
    <row r="192" spans="1:7" ht="21" customHeight="1" x14ac:dyDescent="0.3">
      <c r="A192" s="172"/>
      <c r="B192" s="172"/>
      <c r="C192" s="172"/>
      <c r="D192" s="172"/>
      <c r="E192" s="172"/>
      <c r="F192" s="172"/>
      <c r="G192" s="172"/>
    </row>
    <row r="193" spans="1:7" ht="21" customHeight="1" x14ac:dyDescent="0.3">
      <c r="A193" s="172"/>
      <c r="B193" s="172"/>
      <c r="C193" s="172"/>
      <c r="D193" s="172"/>
      <c r="E193" s="172"/>
      <c r="F193" s="172"/>
      <c r="G193" s="172"/>
    </row>
    <row r="194" spans="1:7" ht="21" customHeight="1" x14ac:dyDescent="0.3">
      <c r="A194" s="172"/>
      <c r="B194" s="172"/>
      <c r="C194" s="172"/>
      <c r="D194" s="172"/>
      <c r="E194" s="172"/>
      <c r="F194" s="172"/>
      <c r="G194" s="172"/>
    </row>
    <row r="195" spans="1:7" ht="21" customHeight="1" x14ac:dyDescent="0.3">
      <c r="A195" s="172"/>
      <c r="B195" s="172"/>
      <c r="C195" s="172"/>
      <c r="D195" s="172"/>
      <c r="E195" s="172"/>
      <c r="F195" s="172"/>
      <c r="G195" s="172"/>
    </row>
    <row r="196" spans="1:7" ht="21" customHeight="1" x14ac:dyDescent="0.3">
      <c r="A196" s="172"/>
      <c r="B196" s="172"/>
      <c r="C196" s="172"/>
      <c r="D196" s="172"/>
      <c r="E196" s="172"/>
      <c r="F196" s="172"/>
      <c r="G196" s="172"/>
    </row>
    <row r="197" spans="1:7" ht="21" customHeight="1" x14ac:dyDescent="0.3">
      <c r="A197" s="172"/>
      <c r="B197" s="172"/>
      <c r="C197" s="172"/>
      <c r="D197" s="172"/>
      <c r="E197" s="172"/>
      <c r="F197" s="172"/>
      <c r="G197" s="172"/>
    </row>
    <row r="198" spans="1:7" ht="21" customHeight="1" x14ac:dyDescent="0.3">
      <c r="A198" s="172"/>
      <c r="B198" s="172"/>
      <c r="C198" s="172"/>
      <c r="D198" s="172"/>
      <c r="E198" s="172"/>
      <c r="F198" s="172"/>
      <c r="G198" s="172"/>
    </row>
    <row r="199" spans="1:7" ht="21" customHeight="1" x14ac:dyDescent="0.3">
      <c r="A199" s="172"/>
      <c r="B199" s="172"/>
      <c r="C199" s="172"/>
      <c r="D199" s="172"/>
      <c r="E199" s="172"/>
      <c r="F199" s="172"/>
      <c r="G199" s="172"/>
    </row>
    <row r="200" spans="1:7" ht="21" customHeight="1" x14ac:dyDescent="0.3">
      <c r="A200" s="172"/>
      <c r="B200" s="172"/>
      <c r="C200" s="172"/>
      <c r="D200" s="172"/>
      <c r="E200" s="172"/>
      <c r="F200" s="172"/>
      <c r="G200" s="172"/>
    </row>
    <row r="201" spans="1:7" ht="21" customHeight="1" x14ac:dyDescent="0.3">
      <c r="A201" s="172"/>
      <c r="B201" s="172"/>
      <c r="C201" s="172"/>
      <c r="D201" s="172"/>
      <c r="E201" s="172"/>
      <c r="F201" s="172"/>
      <c r="G201" s="172"/>
    </row>
    <row r="202" spans="1:7" ht="21" customHeight="1" x14ac:dyDescent="0.3">
      <c r="A202" s="172"/>
      <c r="B202" s="172"/>
      <c r="C202" s="172"/>
      <c r="D202" s="172"/>
      <c r="E202" s="172"/>
      <c r="F202" s="172"/>
      <c r="G202" s="172"/>
    </row>
    <row r="203" spans="1:7" ht="21" customHeight="1" x14ac:dyDescent="0.3">
      <c r="A203" s="172"/>
      <c r="B203" s="172"/>
      <c r="C203" s="172"/>
      <c r="D203" s="172"/>
      <c r="E203" s="172"/>
      <c r="F203" s="172"/>
      <c r="G203" s="172"/>
    </row>
    <row r="204" spans="1:7" ht="21" customHeight="1" x14ac:dyDescent="0.3">
      <c r="A204" s="172"/>
      <c r="B204" s="172"/>
      <c r="C204" s="172"/>
      <c r="D204" s="172"/>
      <c r="E204" s="172"/>
      <c r="F204" s="172"/>
      <c r="G204" s="172"/>
    </row>
    <row r="205" spans="1:7" ht="21" customHeight="1" x14ac:dyDescent="0.3">
      <c r="A205" s="172"/>
      <c r="B205" s="172"/>
      <c r="C205" s="172"/>
      <c r="D205" s="172"/>
      <c r="E205" s="172"/>
      <c r="F205" s="172"/>
      <c r="G205" s="172"/>
    </row>
    <row r="206" spans="1:7" ht="21" customHeight="1" x14ac:dyDescent="0.3">
      <c r="A206" s="172"/>
      <c r="B206" s="172"/>
      <c r="C206" s="172"/>
      <c r="D206" s="172"/>
      <c r="E206" s="172"/>
      <c r="F206" s="172"/>
      <c r="G206" s="172"/>
    </row>
    <row r="207" spans="1:7" ht="21" customHeight="1" x14ac:dyDescent="0.3">
      <c r="A207" s="172"/>
      <c r="B207" s="172"/>
      <c r="C207" s="172"/>
      <c r="D207" s="172"/>
      <c r="E207" s="172"/>
      <c r="F207" s="172"/>
      <c r="G207" s="172"/>
    </row>
    <row r="208" spans="1:7" ht="21" customHeight="1" x14ac:dyDescent="0.3">
      <c r="A208" s="172"/>
      <c r="B208" s="172"/>
      <c r="C208" s="172"/>
      <c r="D208" s="172"/>
      <c r="E208" s="172"/>
      <c r="F208" s="172"/>
      <c r="G208" s="172"/>
    </row>
    <row r="209" spans="1:7" ht="21" customHeight="1" x14ac:dyDescent="0.3">
      <c r="A209" s="172"/>
      <c r="B209" s="172"/>
      <c r="C209" s="172"/>
      <c r="D209" s="172"/>
      <c r="E209" s="172"/>
      <c r="F209" s="172"/>
      <c r="G209" s="172"/>
    </row>
    <row r="210" spans="1:7" ht="21" customHeight="1" x14ac:dyDescent="0.3">
      <c r="A210" s="172"/>
      <c r="B210" s="172"/>
      <c r="C210" s="172"/>
      <c r="D210" s="172"/>
      <c r="E210" s="172"/>
      <c r="F210" s="172"/>
      <c r="G210" s="172"/>
    </row>
    <row r="211" spans="1:7" ht="21" customHeight="1" x14ac:dyDescent="0.3">
      <c r="A211" s="172"/>
      <c r="B211" s="172"/>
      <c r="C211" s="172"/>
      <c r="D211" s="172"/>
      <c r="E211" s="172"/>
      <c r="F211" s="172"/>
      <c r="G211" s="172"/>
    </row>
    <row r="212" spans="1:7" ht="21" customHeight="1" x14ac:dyDescent="0.3">
      <c r="A212" s="172"/>
      <c r="B212" s="172"/>
      <c r="C212" s="172"/>
      <c r="D212" s="172"/>
      <c r="E212" s="172"/>
      <c r="F212" s="172"/>
      <c r="G212" s="172"/>
    </row>
    <row r="213" spans="1:7" ht="21" customHeight="1" x14ac:dyDescent="0.3">
      <c r="A213" s="172"/>
      <c r="B213" s="172"/>
      <c r="C213" s="172"/>
      <c r="D213" s="172"/>
      <c r="E213" s="172"/>
      <c r="F213" s="172"/>
      <c r="G213" s="172"/>
    </row>
    <row r="214" spans="1:7" ht="21" customHeight="1" x14ac:dyDescent="0.3">
      <c r="A214" s="172"/>
      <c r="B214" s="172"/>
      <c r="C214" s="172"/>
      <c r="D214" s="172"/>
      <c r="E214" s="172"/>
      <c r="F214" s="172"/>
      <c r="G214" s="172"/>
    </row>
    <row r="215" spans="1:7" ht="21" customHeight="1" x14ac:dyDescent="0.3">
      <c r="A215" s="172"/>
      <c r="B215" s="172"/>
      <c r="C215" s="172"/>
      <c r="D215" s="172"/>
      <c r="E215" s="172"/>
      <c r="F215" s="172"/>
      <c r="G215" s="172"/>
    </row>
    <row r="216" spans="1:7" ht="21" customHeight="1" x14ac:dyDescent="0.3">
      <c r="A216" s="172"/>
      <c r="B216" s="172"/>
      <c r="C216" s="172"/>
      <c r="D216" s="172"/>
      <c r="E216" s="172"/>
      <c r="F216" s="172"/>
      <c r="G216" s="172"/>
    </row>
    <row r="217" spans="1:7" ht="21" customHeight="1" x14ac:dyDescent="0.3">
      <c r="A217" s="172"/>
      <c r="B217" s="172"/>
      <c r="C217" s="172"/>
      <c r="D217" s="172"/>
      <c r="E217" s="172"/>
      <c r="F217" s="172"/>
      <c r="G217" s="172"/>
    </row>
    <row r="218" spans="1:7" ht="21" customHeight="1" x14ac:dyDescent="0.3">
      <c r="A218" s="172"/>
      <c r="B218" s="172"/>
      <c r="C218" s="172"/>
      <c r="D218" s="172"/>
      <c r="E218" s="172"/>
      <c r="F218" s="172"/>
      <c r="G218" s="172"/>
    </row>
    <row r="219" spans="1:7" ht="21" customHeight="1" x14ac:dyDescent="0.3">
      <c r="A219" s="172"/>
      <c r="B219" s="172"/>
      <c r="C219" s="172"/>
      <c r="D219" s="172"/>
      <c r="E219" s="172"/>
      <c r="F219" s="172"/>
      <c r="G219" s="172"/>
    </row>
    <row r="220" spans="1:7" ht="21" customHeight="1" x14ac:dyDescent="0.3">
      <c r="A220" s="172"/>
      <c r="B220" s="172"/>
      <c r="C220" s="172"/>
      <c r="D220" s="172"/>
      <c r="E220" s="172"/>
      <c r="F220" s="172"/>
      <c r="G220" s="172"/>
    </row>
    <row r="221" spans="1:7" ht="21" customHeight="1" x14ac:dyDescent="0.3">
      <c r="A221" s="172"/>
      <c r="B221" s="172"/>
      <c r="C221" s="172"/>
      <c r="D221" s="172"/>
      <c r="E221" s="172"/>
      <c r="F221" s="172"/>
      <c r="G221" s="172"/>
    </row>
    <row r="222" spans="1:7" ht="21" customHeight="1" x14ac:dyDescent="0.3">
      <c r="A222" s="172"/>
      <c r="B222" s="172"/>
      <c r="C222" s="172"/>
      <c r="D222" s="172"/>
      <c r="E222" s="172"/>
      <c r="F222" s="172"/>
      <c r="G222" s="172"/>
    </row>
    <row r="223" spans="1:7" ht="21" customHeight="1" x14ac:dyDescent="0.3">
      <c r="A223" s="172"/>
      <c r="B223" s="172"/>
      <c r="C223" s="172"/>
      <c r="D223" s="172"/>
      <c r="E223" s="172"/>
      <c r="F223" s="172"/>
      <c r="G223" s="172"/>
    </row>
    <row r="224" spans="1:7" ht="21" customHeight="1" x14ac:dyDescent="0.3">
      <c r="A224" s="172"/>
      <c r="B224" s="172"/>
      <c r="C224" s="172"/>
      <c r="D224" s="172"/>
      <c r="E224" s="172"/>
      <c r="F224" s="172"/>
      <c r="G224" s="172"/>
    </row>
    <row r="225" spans="1:7" ht="21" customHeight="1" x14ac:dyDescent="0.3">
      <c r="A225" s="172"/>
      <c r="B225" s="172"/>
      <c r="C225" s="172"/>
      <c r="D225" s="172"/>
      <c r="E225" s="172"/>
      <c r="F225" s="172"/>
      <c r="G225" s="172"/>
    </row>
    <row r="226" spans="1:7" ht="21" customHeight="1" x14ac:dyDescent="0.3">
      <c r="A226" s="172"/>
      <c r="B226" s="172"/>
      <c r="C226" s="172"/>
      <c r="D226" s="172"/>
      <c r="E226" s="172"/>
      <c r="F226" s="172"/>
      <c r="G226" s="172"/>
    </row>
    <row r="227" spans="1:7" ht="21" customHeight="1" x14ac:dyDescent="0.3">
      <c r="A227" s="172"/>
      <c r="B227" s="172"/>
      <c r="C227" s="172"/>
      <c r="D227" s="172"/>
      <c r="E227" s="172"/>
      <c r="F227" s="172"/>
      <c r="G227" s="172"/>
    </row>
    <row r="228" spans="1:7" ht="21" customHeight="1" x14ac:dyDescent="0.3">
      <c r="A228" s="172"/>
      <c r="B228" s="172"/>
      <c r="C228" s="172"/>
      <c r="D228" s="172"/>
      <c r="E228" s="172"/>
      <c r="F228" s="172"/>
      <c r="G228" s="172"/>
    </row>
    <row r="229" spans="1:7" ht="21" customHeight="1" x14ac:dyDescent="0.3">
      <c r="A229" s="172"/>
      <c r="B229" s="172"/>
      <c r="C229" s="172"/>
      <c r="D229" s="172"/>
      <c r="E229" s="172"/>
      <c r="F229" s="172"/>
      <c r="G229" s="172"/>
    </row>
    <row r="230" spans="1:7" ht="21" customHeight="1" x14ac:dyDescent="0.3">
      <c r="A230" s="172"/>
      <c r="B230" s="172"/>
      <c r="C230" s="172"/>
      <c r="D230" s="172"/>
      <c r="E230" s="172"/>
      <c r="F230" s="172"/>
      <c r="G230" s="172"/>
    </row>
    <row r="231" spans="1:7" ht="21" customHeight="1" x14ac:dyDescent="0.3">
      <c r="A231" s="172"/>
      <c r="B231" s="172"/>
      <c r="C231" s="172"/>
      <c r="D231" s="172"/>
      <c r="E231" s="172"/>
      <c r="F231" s="172"/>
      <c r="G231" s="172"/>
    </row>
    <row r="232" spans="1:7" ht="21" customHeight="1" x14ac:dyDescent="0.3">
      <c r="A232" s="172"/>
      <c r="B232" s="172"/>
      <c r="C232" s="172"/>
      <c r="D232" s="172"/>
      <c r="E232" s="172"/>
      <c r="F232" s="172"/>
      <c r="G232" s="172"/>
    </row>
    <row r="233" spans="1:7" ht="21" customHeight="1" x14ac:dyDescent="0.3">
      <c r="A233" s="172"/>
      <c r="B233" s="172"/>
      <c r="C233" s="172"/>
      <c r="D233" s="172"/>
      <c r="E233" s="172"/>
      <c r="F233" s="172"/>
      <c r="G233" s="172"/>
    </row>
    <row r="234" spans="1:7" ht="21" customHeight="1" x14ac:dyDescent="0.3">
      <c r="A234" s="172"/>
      <c r="B234" s="172"/>
      <c r="C234" s="172"/>
      <c r="D234" s="172"/>
      <c r="E234" s="172"/>
      <c r="F234" s="172"/>
      <c r="G234" s="172"/>
    </row>
    <row r="235" spans="1:7" ht="21" customHeight="1" x14ac:dyDescent="0.3">
      <c r="A235" s="172"/>
      <c r="B235" s="172"/>
      <c r="C235" s="172"/>
      <c r="D235" s="172"/>
      <c r="E235" s="172"/>
      <c r="F235" s="172"/>
      <c r="G235" s="172"/>
    </row>
    <row r="236" spans="1:7" ht="21" customHeight="1" x14ac:dyDescent="0.3">
      <c r="A236" s="172"/>
      <c r="B236" s="172"/>
      <c r="C236" s="172"/>
      <c r="D236" s="172"/>
      <c r="E236" s="172"/>
      <c r="F236" s="172"/>
      <c r="G236" s="172"/>
    </row>
    <row r="237" spans="1:7" ht="21" customHeight="1" x14ac:dyDescent="0.3">
      <c r="A237" s="172"/>
      <c r="B237" s="172"/>
      <c r="C237" s="172"/>
      <c r="D237" s="172"/>
      <c r="E237" s="172"/>
      <c r="F237" s="172"/>
      <c r="G237" s="172"/>
    </row>
    <row r="238" spans="1:7" ht="21" customHeight="1" x14ac:dyDescent="0.3">
      <c r="A238" s="172"/>
      <c r="B238" s="172"/>
      <c r="C238" s="172"/>
      <c r="D238" s="172"/>
      <c r="E238" s="172"/>
      <c r="F238" s="172"/>
      <c r="G238" s="172"/>
    </row>
    <row r="239" spans="1:7" ht="21" customHeight="1" x14ac:dyDescent="0.3">
      <c r="A239" s="172"/>
      <c r="B239" s="172"/>
      <c r="C239" s="172"/>
      <c r="D239" s="172"/>
      <c r="E239" s="172"/>
      <c r="F239" s="172"/>
      <c r="G239" s="172"/>
    </row>
    <row r="240" spans="1:7" ht="21" customHeight="1" x14ac:dyDescent="0.3">
      <c r="A240" s="172"/>
      <c r="B240" s="172"/>
      <c r="C240" s="172"/>
      <c r="D240" s="172"/>
      <c r="E240" s="172"/>
      <c r="F240" s="172"/>
      <c r="G240" s="172"/>
    </row>
    <row r="241" spans="1:7" ht="21" customHeight="1" x14ac:dyDescent="0.3">
      <c r="A241" s="172"/>
      <c r="B241" s="172"/>
      <c r="C241" s="172"/>
      <c r="D241" s="172"/>
      <c r="E241" s="172"/>
      <c r="F241" s="172"/>
      <c r="G241" s="172"/>
    </row>
    <row r="242" spans="1:7" ht="21" customHeight="1" x14ac:dyDescent="0.3">
      <c r="A242" s="172"/>
      <c r="B242" s="172"/>
      <c r="C242" s="172"/>
      <c r="D242" s="172"/>
      <c r="E242" s="172"/>
      <c r="F242" s="172"/>
      <c r="G242" s="172"/>
    </row>
    <row r="243" spans="1:7" ht="21" customHeight="1" x14ac:dyDescent="0.3">
      <c r="A243" s="172"/>
      <c r="B243" s="172"/>
      <c r="C243" s="172"/>
      <c r="D243" s="172"/>
      <c r="E243" s="172"/>
      <c r="F243" s="172"/>
      <c r="G243" s="172"/>
    </row>
    <row r="244" spans="1:7" ht="21" customHeight="1" x14ac:dyDescent="0.3">
      <c r="A244" s="172"/>
      <c r="B244" s="172"/>
      <c r="C244" s="172"/>
      <c r="D244" s="172"/>
      <c r="E244" s="172"/>
      <c r="F244" s="172"/>
      <c r="G244" s="172"/>
    </row>
    <row r="245" spans="1:7" ht="21" customHeight="1" x14ac:dyDescent="0.3">
      <c r="A245" s="172"/>
      <c r="B245" s="172"/>
      <c r="C245" s="172"/>
      <c r="D245" s="172"/>
      <c r="E245" s="172"/>
      <c r="F245" s="172"/>
      <c r="G245" s="172"/>
    </row>
    <row r="246" spans="1:7" ht="21" customHeight="1" x14ac:dyDescent="0.3">
      <c r="A246" s="172"/>
      <c r="B246" s="172"/>
      <c r="C246" s="172"/>
      <c r="D246" s="172"/>
      <c r="E246" s="172"/>
      <c r="F246" s="172"/>
      <c r="G246" s="172"/>
    </row>
    <row r="247" spans="1:7" ht="21" customHeight="1" x14ac:dyDescent="0.3">
      <c r="A247" s="172"/>
      <c r="B247" s="172"/>
      <c r="C247" s="172"/>
      <c r="D247" s="172"/>
      <c r="E247" s="172"/>
      <c r="F247" s="172"/>
      <c r="G247" s="172"/>
    </row>
    <row r="248" spans="1:7" ht="21" customHeight="1" x14ac:dyDescent="0.3">
      <c r="A248" s="172"/>
      <c r="B248" s="172"/>
      <c r="C248" s="172"/>
      <c r="D248" s="172"/>
      <c r="E248" s="172"/>
      <c r="F248" s="172"/>
      <c r="G248" s="172"/>
    </row>
    <row r="249" spans="1:7" ht="21" customHeight="1" x14ac:dyDescent="0.3">
      <c r="A249" s="172"/>
      <c r="B249" s="172"/>
      <c r="C249" s="172"/>
      <c r="D249" s="172"/>
      <c r="E249" s="172"/>
      <c r="F249" s="172"/>
      <c r="G249" s="172"/>
    </row>
    <row r="250" spans="1:7" ht="21" customHeight="1" x14ac:dyDescent="0.3">
      <c r="A250" s="172"/>
      <c r="B250" s="172"/>
      <c r="C250" s="172"/>
      <c r="D250" s="172"/>
      <c r="E250" s="172"/>
      <c r="F250" s="172"/>
      <c r="G250" s="172"/>
    </row>
    <row r="251" spans="1:7" ht="21" customHeight="1" x14ac:dyDescent="0.3">
      <c r="A251" s="172"/>
      <c r="B251" s="172"/>
      <c r="C251" s="172"/>
      <c r="D251" s="172"/>
      <c r="E251" s="172"/>
      <c r="F251" s="172"/>
      <c r="G251" s="172"/>
    </row>
    <row r="252" spans="1:7" ht="21" customHeight="1" x14ac:dyDescent="0.3">
      <c r="A252" s="172"/>
      <c r="B252" s="172"/>
      <c r="C252" s="172"/>
      <c r="D252" s="172"/>
      <c r="E252" s="172"/>
      <c r="F252" s="172"/>
      <c r="G252" s="172"/>
    </row>
    <row r="253" spans="1:7" ht="21" customHeight="1" x14ac:dyDescent="0.3">
      <c r="A253" s="172"/>
      <c r="B253" s="172"/>
      <c r="C253" s="172"/>
      <c r="D253" s="172"/>
      <c r="E253" s="172"/>
      <c r="F253" s="172"/>
      <c r="G253" s="172"/>
    </row>
    <row r="254" spans="1:7" ht="21" customHeight="1" x14ac:dyDescent="0.3">
      <c r="A254" s="172"/>
      <c r="B254" s="172"/>
      <c r="C254" s="172"/>
      <c r="D254" s="172"/>
      <c r="E254" s="172"/>
      <c r="F254" s="172"/>
      <c r="G254" s="172"/>
    </row>
    <row r="255" spans="1:7" ht="21" customHeight="1" x14ac:dyDescent="0.3">
      <c r="A255" s="172"/>
      <c r="B255" s="172"/>
      <c r="C255" s="172"/>
      <c r="D255" s="172"/>
      <c r="E255" s="172"/>
      <c r="F255" s="172"/>
      <c r="G255" s="172"/>
    </row>
    <row r="256" spans="1:7" ht="21" customHeight="1" x14ac:dyDescent="0.3">
      <c r="A256" s="172"/>
      <c r="B256" s="172"/>
      <c r="C256" s="172"/>
      <c r="D256" s="172"/>
      <c r="E256" s="172"/>
      <c r="F256" s="172"/>
      <c r="G256" s="172"/>
    </row>
    <row r="257" spans="1:7" ht="21" customHeight="1" x14ac:dyDescent="0.3">
      <c r="A257" s="172"/>
      <c r="B257" s="172"/>
      <c r="C257" s="172"/>
      <c r="D257" s="172"/>
      <c r="E257" s="172"/>
      <c r="F257" s="172"/>
      <c r="G257" s="172"/>
    </row>
    <row r="258" spans="1:7" ht="21" customHeight="1" x14ac:dyDescent="0.3">
      <c r="A258" s="172"/>
      <c r="B258" s="172"/>
      <c r="C258" s="172"/>
      <c r="D258" s="172"/>
      <c r="E258" s="172"/>
      <c r="F258" s="172"/>
      <c r="G258" s="172"/>
    </row>
    <row r="259" spans="1:7" ht="21" customHeight="1" x14ac:dyDescent="0.3">
      <c r="A259" s="172"/>
      <c r="B259" s="172"/>
      <c r="C259" s="172"/>
      <c r="D259" s="172"/>
      <c r="E259" s="172"/>
      <c r="F259" s="172"/>
      <c r="G259" s="172"/>
    </row>
    <row r="260" spans="1:7" ht="21" customHeight="1" x14ac:dyDescent="0.3">
      <c r="A260" s="172"/>
      <c r="B260" s="172"/>
      <c r="C260" s="172"/>
      <c r="D260" s="172"/>
      <c r="E260" s="172"/>
      <c r="F260" s="172"/>
      <c r="G260" s="172"/>
    </row>
    <row r="261" spans="1:7" ht="21" customHeight="1" x14ac:dyDescent="0.3">
      <c r="A261" s="172"/>
      <c r="B261" s="172"/>
      <c r="C261" s="172"/>
      <c r="D261" s="172"/>
      <c r="E261" s="172"/>
      <c r="F261" s="172"/>
      <c r="G261" s="172"/>
    </row>
    <row r="262" spans="1:7" ht="21" customHeight="1" x14ac:dyDescent="0.3">
      <c r="A262" s="172"/>
      <c r="B262" s="172"/>
      <c r="C262" s="172"/>
      <c r="D262" s="172"/>
      <c r="E262" s="172"/>
      <c r="F262" s="172"/>
      <c r="G262" s="172"/>
    </row>
    <row r="263" spans="1:7" ht="21" customHeight="1" x14ac:dyDescent="0.3">
      <c r="A263" s="172"/>
      <c r="B263" s="172"/>
      <c r="C263" s="172"/>
      <c r="D263" s="172"/>
      <c r="E263" s="172"/>
      <c r="F263" s="172"/>
      <c r="G263" s="172"/>
    </row>
    <row r="264" spans="1:7" ht="21" customHeight="1" x14ac:dyDescent="0.3">
      <c r="A264" s="172"/>
      <c r="B264" s="172"/>
      <c r="C264" s="172"/>
      <c r="D264" s="172"/>
      <c r="E264" s="172"/>
      <c r="F264" s="172"/>
      <c r="G264" s="172"/>
    </row>
    <row r="265" spans="1:7" ht="21" customHeight="1" x14ac:dyDescent="0.3">
      <c r="A265" s="172"/>
      <c r="B265" s="172"/>
      <c r="C265" s="172"/>
      <c r="D265" s="172"/>
      <c r="E265" s="172"/>
      <c r="F265" s="172"/>
      <c r="G265" s="172"/>
    </row>
    <row r="266" spans="1:7" ht="21" customHeight="1" x14ac:dyDescent="0.3">
      <c r="A266" s="172"/>
      <c r="B266" s="172"/>
      <c r="C266" s="172"/>
      <c r="D266" s="172"/>
      <c r="E266" s="172"/>
      <c r="F266" s="172"/>
      <c r="G266" s="172"/>
    </row>
    <row r="267" spans="1:7" ht="21" customHeight="1" x14ac:dyDescent="0.3">
      <c r="A267" s="172"/>
      <c r="B267" s="172"/>
      <c r="C267" s="172"/>
      <c r="D267" s="172"/>
      <c r="E267" s="172"/>
      <c r="F267" s="172"/>
      <c r="G267" s="172"/>
    </row>
    <row r="268" spans="1:7" ht="21" customHeight="1" x14ac:dyDescent="0.3">
      <c r="A268" s="172"/>
      <c r="B268" s="172"/>
      <c r="C268" s="172"/>
      <c r="D268" s="172"/>
      <c r="E268" s="172"/>
      <c r="F268" s="172"/>
      <c r="G268" s="172"/>
    </row>
    <row r="269" spans="1:7" ht="21" customHeight="1" x14ac:dyDescent="0.3">
      <c r="A269" s="172"/>
      <c r="B269" s="172"/>
      <c r="C269" s="172"/>
      <c r="D269" s="172"/>
      <c r="E269" s="172"/>
      <c r="F269" s="172"/>
      <c r="G269" s="172"/>
    </row>
    <row r="270" spans="1:7" ht="21" customHeight="1" x14ac:dyDescent="0.3">
      <c r="A270" s="172"/>
      <c r="B270" s="172"/>
      <c r="C270" s="172"/>
      <c r="D270" s="172"/>
      <c r="E270" s="172"/>
      <c r="F270" s="172"/>
      <c r="G270" s="172"/>
    </row>
    <row r="271" spans="1:7" ht="21" customHeight="1" x14ac:dyDescent="0.3">
      <c r="A271" s="172"/>
      <c r="B271" s="172"/>
      <c r="C271" s="172"/>
      <c r="D271" s="172"/>
      <c r="E271" s="172"/>
      <c r="F271" s="172"/>
      <c r="G271" s="172"/>
    </row>
    <row r="272" spans="1:7" ht="21" customHeight="1" x14ac:dyDescent="0.3">
      <c r="A272" s="172"/>
      <c r="B272" s="172"/>
      <c r="C272" s="172"/>
      <c r="D272" s="172"/>
      <c r="E272" s="172"/>
      <c r="F272" s="172"/>
      <c r="G272" s="172"/>
    </row>
    <row r="273" spans="1:7" ht="21" customHeight="1" x14ac:dyDescent="0.3">
      <c r="A273" s="172"/>
      <c r="B273" s="172"/>
      <c r="C273" s="172"/>
      <c r="D273" s="172"/>
      <c r="E273" s="172"/>
      <c r="F273" s="172"/>
      <c r="G273" s="172"/>
    </row>
    <row r="274" spans="1:7" ht="21" customHeight="1" x14ac:dyDescent="0.3">
      <c r="A274" s="172"/>
      <c r="B274" s="172"/>
      <c r="C274" s="172"/>
      <c r="D274" s="172"/>
      <c r="E274" s="172"/>
      <c r="F274" s="172"/>
      <c r="G274" s="172"/>
    </row>
    <row r="275" spans="1:7" ht="21" customHeight="1" x14ac:dyDescent="0.3">
      <c r="A275" s="172"/>
      <c r="B275" s="172"/>
      <c r="C275" s="172"/>
      <c r="D275" s="172"/>
      <c r="E275" s="172"/>
      <c r="F275" s="172"/>
      <c r="G275" s="172"/>
    </row>
    <row r="276" spans="1:7" ht="21" customHeight="1" x14ac:dyDescent="0.3">
      <c r="A276" s="172"/>
      <c r="B276" s="172"/>
      <c r="C276" s="172"/>
      <c r="D276" s="172"/>
      <c r="E276" s="172"/>
      <c r="F276" s="172"/>
      <c r="G276" s="172"/>
    </row>
    <row r="277" spans="1:7" ht="21" customHeight="1" x14ac:dyDescent="0.3">
      <c r="A277" s="172"/>
      <c r="B277" s="172"/>
      <c r="C277" s="172"/>
      <c r="D277" s="172"/>
      <c r="E277" s="172"/>
      <c r="F277" s="172"/>
      <c r="G277" s="172"/>
    </row>
    <row r="278" spans="1:7" ht="21" customHeight="1" x14ac:dyDescent="0.3">
      <c r="A278" s="172"/>
      <c r="B278" s="172"/>
      <c r="C278" s="172"/>
      <c r="D278" s="172"/>
      <c r="E278" s="172"/>
      <c r="F278" s="172"/>
      <c r="G278" s="172"/>
    </row>
    <row r="279" spans="1:7" ht="21" customHeight="1" x14ac:dyDescent="0.3">
      <c r="A279" s="172"/>
      <c r="B279" s="172"/>
      <c r="C279" s="172"/>
      <c r="D279" s="172"/>
      <c r="E279" s="172"/>
      <c r="F279" s="172"/>
      <c r="G279" s="172"/>
    </row>
    <row r="280" spans="1:7" ht="21" customHeight="1" x14ac:dyDescent="0.3">
      <c r="A280" s="172"/>
      <c r="B280" s="172"/>
      <c r="C280" s="172"/>
      <c r="D280" s="172"/>
      <c r="E280" s="172"/>
      <c r="F280" s="172"/>
      <c r="G280" s="172"/>
    </row>
    <row r="281" spans="1:7" ht="21" customHeight="1" x14ac:dyDescent="0.3">
      <c r="A281" s="172"/>
      <c r="B281" s="172"/>
      <c r="C281" s="172"/>
      <c r="D281" s="172"/>
      <c r="E281" s="172"/>
      <c r="F281" s="172"/>
      <c r="G281" s="172"/>
    </row>
    <row r="282" spans="1:7" ht="21" customHeight="1" x14ac:dyDescent="0.3">
      <c r="A282" s="172"/>
      <c r="B282" s="172"/>
      <c r="C282" s="172"/>
      <c r="D282" s="172"/>
      <c r="E282" s="172"/>
      <c r="F282" s="172"/>
      <c r="G282" s="172"/>
    </row>
    <row r="283" spans="1:7" ht="21" customHeight="1" x14ac:dyDescent="0.3">
      <c r="A283" s="172"/>
      <c r="B283" s="172"/>
      <c r="C283" s="172"/>
      <c r="D283" s="172"/>
      <c r="E283" s="172"/>
      <c r="F283" s="172"/>
      <c r="G283" s="172"/>
    </row>
    <row r="284" spans="1:7" ht="21" customHeight="1" x14ac:dyDescent="0.3">
      <c r="A284" s="172"/>
      <c r="B284" s="172"/>
      <c r="C284" s="172"/>
      <c r="D284" s="172"/>
      <c r="E284" s="172"/>
      <c r="F284" s="172"/>
      <c r="G284" s="172"/>
    </row>
    <row r="285" spans="1:7" ht="21" customHeight="1" x14ac:dyDescent="0.3">
      <c r="A285" s="172"/>
      <c r="B285" s="172"/>
      <c r="C285" s="172"/>
      <c r="D285" s="172"/>
      <c r="E285" s="172"/>
      <c r="F285" s="172"/>
      <c r="G285" s="172"/>
    </row>
    <row r="286" spans="1:7" ht="21" customHeight="1" x14ac:dyDescent="0.3">
      <c r="A286" s="172"/>
      <c r="B286" s="172"/>
      <c r="C286" s="172"/>
      <c r="D286" s="172"/>
      <c r="E286" s="172"/>
      <c r="F286" s="172"/>
      <c r="G286" s="172"/>
    </row>
    <row r="287" spans="1:7" ht="21" customHeight="1" x14ac:dyDescent="0.3">
      <c r="A287" s="172"/>
      <c r="B287" s="172"/>
      <c r="C287" s="172"/>
      <c r="D287" s="172"/>
      <c r="E287" s="172"/>
      <c r="F287" s="172"/>
      <c r="G287" s="172"/>
    </row>
    <row r="288" spans="1:7" ht="21" customHeight="1" x14ac:dyDescent="0.3">
      <c r="A288" s="172"/>
      <c r="B288" s="172"/>
      <c r="C288" s="172"/>
      <c r="D288" s="172"/>
      <c r="E288" s="172"/>
      <c r="F288" s="172"/>
      <c r="G288" s="172"/>
    </row>
    <row r="289" spans="1:7" ht="21" customHeight="1" x14ac:dyDescent="0.3">
      <c r="A289" s="172"/>
      <c r="B289" s="172"/>
      <c r="C289" s="172"/>
      <c r="D289" s="172"/>
      <c r="E289" s="172"/>
      <c r="F289" s="172"/>
      <c r="G289" s="172"/>
    </row>
    <row r="290" spans="1:7" ht="21" customHeight="1" x14ac:dyDescent="0.3">
      <c r="A290" s="172"/>
      <c r="B290" s="172"/>
      <c r="C290" s="172"/>
      <c r="D290" s="172"/>
      <c r="E290" s="172"/>
      <c r="F290" s="172"/>
      <c r="G290" s="172"/>
    </row>
    <row r="291" spans="1:7" ht="21" customHeight="1" x14ac:dyDescent="0.3">
      <c r="A291" s="172"/>
      <c r="B291" s="172"/>
      <c r="C291" s="172"/>
      <c r="D291" s="172"/>
      <c r="E291" s="172"/>
      <c r="F291" s="172"/>
      <c r="G291" s="172"/>
    </row>
    <row r="292" spans="1:7" ht="21" customHeight="1" x14ac:dyDescent="0.3">
      <c r="A292" s="172"/>
      <c r="B292" s="172"/>
      <c r="C292" s="172"/>
      <c r="D292" s="172"/>
      <c r="E292" s="172"/>
      <c r="F292" s="172"/>
      <c r="G292" s="172"/>
    </row>
    <row r="293" spans="1:7" ht="21" customHeight="1" x14ac:dyDescent="0.3">
      <c r="A293" s="172"/>
      <c r="B293" s="172"/>
      <c r="C293" s="172"/>
      <c r="D293" s="172"/>
      <c r="E293" s="172"/>
      <c r="F293" s="172"/>
      <c r="G293" s="172"/>
    </row>
    <row r="294" spans="1:7" ht="21" customHeight="1" x14ac:dyDescent="0.3">
      <c r="A294" s="172"/>
      <c r="B294" s="172"/>
      <c r="C294" s="172"/>
      <c r="D294" s="172"/>
      <c r="E294" s="172"/>
      <c r="F294" s="172"/>
      <c r="G294" s="172"/>
    </row>
    <row r="295" spans="1:7" ht="21" customHeight="1" x14ac:dyDescent="0.3">
      <c r="A295" s="172"/>
      <c r="B295" s="172"/>
      <c r="C295" s="172"/>
      <c r="D295" s="172"/>
      <c r="E295" s="172"/>
      <c r="F295" s="172"/>
      <c r="G295" s="172"/>
    </row>
    <row r="296" spans="1:7" ht="21" customHeight="1" x14ac:dyDescent="0.3">
      <c r="A296" s="172"/>
      <c r="B296" s="172"/>
      <c r="C296" s="172"/>
      <c r="D296" s="172"/>
      <c r="E296" s="172"/>
      <c r="F296" s="172"/>
      <c r="G296" s="172"/>
    </row>
    <row r="297" spans="1:7" ht="21" customHeight="1" x14ac:dyDescent="0.3">
      <c r="A297" s="172"/>
      <c r="B297" s="172"/>
      <c r="C297" s="172"/>
      <c r="D297" s="172"/>
      <c r="E297" s="172"/>
      <c r="F297" s="172"/>
      <c r="G297" s="172"/>
    </row>
    <row r="298" spans="1:7" ht="21" customHeight="1" x14ac:dyDescent="0.3">
      <c r="A298" s="172"/>
      <c r="B298" s="172"/>
      <c r="C298" s="172"/>
      <c r="D298" s="172"/>
      <c r="E298" s="172"/>
      <c r="F298" s="172"/>
      <c r="G298" s="172"/>
    </row>
    <row r="299" spans="1:7" ht="21" customHeight="1" x14ac:dyDescent="0.3">
      <c r="A299" s="172"/>
      <c r="B299" s="172"/>
      <c r="C299" s="172"/>
      <c r="D299" s="172"/>
      <c r="E299" s="172"/>
      <c r="F299" s="172"/>
      <c r="G299" s="172"/>
    </row>
    <row r="300" spans="1:7" ht="21" customHeight="1" x14ac:dyDescent="0.3">
      <c r="A300" s="172"/>
      <c r="B300" s="172"/>
      <c r="C300" s="172"/>
      <c r="D300" s="172"/>
      <c r="E300" s="172"/>
      <c r="F300" s="172"/>
      <c r="G300" s="172"/>
    </row>
    <row r="301" spans="1:7" ht="21" customHeight="1" x14ac:dyDescent="0.3">
      <c r="A301" s="172"/>
      <c r="B301" s="172"/>
      <c r="C301" s="172"/>
      <c r="D301" s="172"/>
      <c r="E301" s="172"/>
      <c r="F301" s="172"/>
      <c r="G301" s="172"/>
    </row>
    <row r="302" spans="1:7" ht="21" customHeight="1" x14ac:dyDescent="0.3">
      <c r="A302" s="172"/>
      <c r="B302" s="172"/>
      <c r="C302" s="172"/>
      <c r="D302" s="172"/>
      <c r="E302" s="172"/>
      <c r="F302" s="172"/>
      <c r="G302" s="172"/>
    </row>
    <row r="303" spans="1:7" ht="21" customHeight="1" x14ac:dyDescent="0.3">
      <c r="A303" s="172"/>
      <c r="B303" s="172"/>
      <c r="C303" s="172"/>
      <c r="D303" s="172"/>
      <c r="E303" s="172"/>
      <c r="F303" s="172"/>
      <c r="G303" s="172"/>
    </row>
    <row r="304" spans="1:7" ht="21" customHeight="1" x14ac:dyDescent="0.3">
      <c r="A304" s="172"/>
      <c r="B304" s="172"/>
      <c r="C304" s="172"/>
      <c r="D304" s="172"/>
      <c r="E304" s="172"/>
      <c r="F304" s="172"/>
      <c r="G304" s="172"/>
    </row>
    <row r="305" spans="1:7" ht="21" customHeight="1" x14ac:dyDescent="0.3">
      <c r="A305" s="172"/>
      <c r="B305" s="172"/>
      <c r="C305" s="172"/>
      <c r="D305" s="172"/>
      <c r="E305" s="172"/>
      <c r="F305" s="172"/>
      <c r="G305" s="172"/>
    </row>
    <row r="306" spans="1:7" ht="21" customHeight="1" x14ac:dyDescent="0.3">
      <c r="A306" s="172"/>
      <c r="B306" s="172"/>
      <c r="C306" s="172"/>
      <c r="D306" s="172"/>
      <c r="E306" s="172"/>
      <c r="F306" s="172"/>
      <c r="G306" s="172"/>
    </row>
    <row r="307" spans="1:7" ht="21" customHeight="1" x14ac:dyDescent="0.3">
      <c r="A307" s="172"/>
      <c r="B307" s="172"/>
      <c r="C307" s="172"/>
      <c r="D307" s="172"/>
      <c r="E307" s="172"/>
      <c r="F307" s="172"/>
      <c r="G307" s="172"/>
    </row>
    <row r="308" spans="1:7" ht="21" customHeight="1" x14ac:dyDescent="0.3">
      <c r="A308" s="172"/>
      <c r="B308" s="172"/>
      <c r="C308" s="172"/>
      <c r="D308" s="172"/>
      <c r="E308" s="172"/>
      <c r="F308" s="172"/>
      <c r="G308" s="172"/>
    </row>
    <row r="309" spans="1:7" ht="21" customHeight="1" x14ac:dyDescent="0.3">
      <c r="A309" s="172"/>
      <c r="B309" s="172"/>
      <c r="C309" s="172"/>
      <c r="D309" s="172"/>
      <c r="E309" s="172"/>
      <c r="F309" s="172"/>
      <c r="G309" s="172"/>
    </row>
    <row r="310" spans="1:7" ht="21" customHeight="1" x14ac:dyDescent="0.3">
      <c r="A310" s="172"/>
      <c r="B310" s="172"/>
      <c r="C310" s="172"/>
      <c r="D310" s="172"/>
      <c r="E310" s="172"/>
      <c r="F310" s="172"/>
      <c r="G310" s="172"/>
    </row>
    <row r="311" spans="1:7" ht="21" customHeight="1" x14ac:dyDescent="0.3">
      <c r="A311" s="172"/>
      <c r="B311" s="172"/>
      <c r="C311" s="172"/>
      <c r="D311" s="172"/>
      <c r="E311" s="172"/>
      <c r="F311" s="172"/>
      <c r="G311" s="172"/>
    </row>
    <row r="312" spans="1:7" ht="21" customHeight="1" x14ac:dyDescent="0.3">
      <c r="A312" s="172"/>
      <c r="B312" s="172"/>
      <c r="C312" s="172"/>
      <c r="D312" s="172"/>
      <c r="E312" s="172"/>
      <c r="F312" s="172"/>
      <c r="G312" s="172"/>
    </row>
    <row r="313" spans="1:7" ht="21" customHeight="1" x14ac:dyDescent="0.3">
      <c r="A313" s="172"/>
      <c r="B313" s="172"/>
      <c r="C313" s="172"/>
      <c r="D313" s="172"/>
      <c r="E313" s="172"/>
      <c r="F313" s="172"/>
      <c r="G313" s="172"/>
    </row>
    <row r="314" spans="1:7" ht="21" customHeight="1" x14ac:dyDescent="0.3">
      <c r="A314" s="172"/>
      <c r="B314" s="172"/>
      <c r="C314" s="172"/>
      <c r="D314" s="172"/>
      <c r="E314" s="172"/>
      <c r="F314" s="172"/>
      <c r="G314" s="172"/>
    </row>
    <row r="315" spans="1:7" ht="21" customHeight="1" x14ac:dyDescent="0.3">
      <c r="A315" s="172"/>
      <c r="B315" s="172"/>
      <c r="C315" s="172"/>
      <c r="D315" s="172"/>
      <c r="E315" s="172"/>
      <c r="F315" s="172"/>
      <c r="G315" s="172"/>
    </row>
    <row r="316" spans="1:7" ht="21" customHeight="1" x14ac:dyDescent="0.3">
      <c r="A316" s="172"/>
      <c r="B316" s="172"/>
      <c r="C316" s="172"/>
      <c r="D316" s="172"/>
      <c r="E316" s="172"/>
      <c r="F316" s="172"/>
      <c r="G316" s="172"/>
    </row>
    <row r="317" spans="1:7" ht="21" customHeight="1" x14ac:dyDescent="0.3">
      <c r="A317" s="172"/>
      <c r="B317" s="172"/>
      <c r="C317" s="172"/>
      <c r="D317" s="172"/>
      <c r="E317" s="172"/>
      <c r="F317" s="172"/>
      <c r="G317" s="172"/>
    </row>
    <row r="318" spans="1:7" ht="21" customHeight="1" x14ac:dyDescent="0.3">
      <c r="A318" s="172"/>
      <c r="B318" s="172"/>
      <c r="C318" s="172"/>
      <c r="D318" s="172"/>
      <c r="E318" s="172"/>
      <c r="F318" s="172"/>
      <c r="G318" s="172"/>
    </row>
    <row r="319" spans="1:7" ht="21" customHeight="1" x14ac:dyDescent="0.3">
      <c r="A319" s="172"/>
      <c r="B319" s="172"/>
      <c r="C319" s="172"/>
      <c r="D319" s="172"/>
      <c r="E319" s="172"/>
      <c r="F319" s="172"/>
      <c r="G319" s="172"/>
    </row>
    <row r="320" spans="1:7" ht="21" customHeight="1" x14ac:dyDescent="0.3">
      <c r="A320" s="172"/>
      <c r="B320" s="172"/>
      <c r="C320" s="172"/>
      <c r="D320" s="172"/>
      <c r="E320" s="172"/>
      <c r="F320" s="172"/>
      <c r="G320" s="172"/>
    </row>
    <row r="321" spans="1:7" ht="21" customHeight="1" x14ac:dyDescent="0.3">
      <c r="A321" s="172"/>
      <c r="B321" s="172"/>
      <c r="C321" s="172"/>
      <c r="D321" s="172"/>
      <c r="E321" s="172"/>
      <c r="F321" s="172"/>
      <c r="G321" s="172"/>
    </row>
    <row r="322" spans="1:7" ht="21" customHeight="1" x14ac:dyDescent="0.3">
      <c r="A322" s="172"/>
      <c r="B322" s="172"/>
      <c r="C322" s="172"/>
      <c r="D322" s="172"/>
      <c r="E322" s="172"/>
      <c r="F322" s="172"/>
      <c r="G322" s="172"/>
    </row>
    <row r="323" spans="1:7" ht="21" customHeight="1" x14ac:dyDescent="0.3">
      <c r="A323" s="172"/>
      <c r="B323" s="172"/>
      <c r="C323" s="172"/>
      <c r="D323" s="172"/>
      <c r="E323" s="172"/>
      <c r="F323" s="172"/>
      <c r="G323" s="172"/>
    </row>
    <row r="324" spans="1:7" ht="21" customHeight="1" x14ac:dyDescent="0.3">
      <c r="A324" s="172"/>
      <c r="B324" s="172"/>
      <c r="C324" s="172"/>
      <c r="D324" s="172"/>
      <c r="E324" s="172"/>
      <c r="F324" s="172"/>
      <c r="G324" s="172"/>
    </row>
    <row r="325" spans="1:7" ht="21" customHeight="1" x14ac:dyDescent="0.3">
      <c r="A325" s="172"/>
      <c r="B325" s="172"/>
      <c r="C325" s="172"/>
      <c r="D325" s="172"/>
      <c r="E325" s="172"/>
      <c r="F325" s="172"/>
      <c r="G325" s="172"/>
    </row>
    <row r="326" spans="1:7" ht="21" customHeight="1" x14ac:dyDescent="0.3">
      <c r="A326" s="172"/>
      <c r="B326" s="172"/>
      <c r="C326" s="172"/>
      <c r="D326" s="172"/>
      <c r="E326" s="172"/>
      <c r="F326" s="172"/>
      <c r="G326" s="172"/>
    </row>
    <row r="327" spans="1:7" ht="21" customHeight="1" x14ac:dyDescent="0.3">
      <c r="A327" s="172"/>
      <c r="B327" s="172"/>
      <c r="C327" s="172"/>
      <c r="D327" s="172"/>
      <c r="E327" s="172"/>
      <c r="F327" s="172"/>
      <c r="G327" s="172"/>
    </row>
    <row r="328" spans="1:7" ht="21" customHeight="1" x14ac:dyDescent="0.3">
      <c r="A328" s="172"/>
      <c r="B328" s="172"/>
      <c r="C328" s="172"/>
      <c r="D328" s="172"/>
      <c r="E328" s="172"/>
      <c r="F328" s="172"/>
      <c r="G328" s="172"/>
    </row>
    <row r="329" spans="1:7" ht="21" customHeight="1" x14ac:dyDescent="0.3">
      <c r="A329" s="172"/>
      <c r="B329" s="172"/>
      <c r="C329" s="172"/>
      <c r="D329" s="172"/>
      <c r="E329" s="172"/>
      <c r="F329" s="172"/>
      <c r="G329" s="172"/>
    </row>
    <row r="330" spans="1:7" ht="21" customHeight="1" x14ac:dyDescent="0.3">
      <c r="A330" s="172"/>
      <c r="B330" s="172"/>
      <c r="C330" s="172"/>
      <c r="D330" s="172"/>
      <c r="E330" s="172"/>
      <c r="F330" s="172"/>
      <c r="G330" s="172"/>
    </row>
    <row r="331" spans="1:7" ht="21" customHeight="1" x14ac:dyDescent="0.3">
      <c r="A331" s="172"/>
      <c r="B331" s="172"/>
      <c r="C331" s="172"/>
      <c r="D331" s="172"/>
      <c r="E331" s="172"/>
      <c r="F331" s="172"/>
      <c r="G331" s="172"/>
    </row>
    <row r="332" spans="1:7" ht="21" customHeight="1" x14ac:dyDescent="0.3">
      <c r="A332" s="172"/>
      <c r="B332" s="172"/>
      <c r="C332" s="172"/>
      <c r="D332" s="172"/>
      <c r="E332" s="172"/>
      <c r="F332" s="172"/>
      <c r="G332" s="172"/>
    </row>
    <row r="333" spans="1:7" ht="21" customHeight="1" x14ac:dyDescent="0.3">
      <c r="A333" s="172"/>
      <c r="B333" s="172"/>
      <c r="C333" s="172"/>
      <c r="D333" s="172"/>
      <c r="E333" s="172"/>
      <c r="F333" s="172"/>
      <c r="G333" s="172"/>
    </row>
    <row r="334" spans="1:7" ht="21" customHeight="1" x14ac:dyDescent="0.3">
      <c r="A334" s="172"/>
      <c r="B334" s="172"/>
      <c r="C334" s="172"/>
      <c r="D334" s="172"/>
      <c r="E334" s="172"/>
      <c r="F334" s="172"/>
      <c r="G334" s="172"/>
    </row>
    <row r="335" spans="1:7" ht="21" customHeight="1" x14ac:dyDescent="0.3">
      <c r="A335" s="172"/>
      <c r="B335" s="172"/>
      <c r="C335" s="172"/>
      <c r="D335" s="172"/>
      <c r="E335" s="172"/>
      <c r="F335" s="172"/>
      <c r="G335" s="172"/>
    </row>
    <row r="336" spans="1:7" ht="21" customHeight="1" x14ac:dyDescent="0.3">
      <c r="A336" s="172"/>
      <c r="B336" s="172"/>
      <c r="C336" s="172"/>
      <c r="D336" s="172"/>
      <c r="E336" s="172"/>
      <c r="F336" s="172"/>
      <c r="G336" s="172"/>
    </row>
    <row r="337" spans="1:7" ht="21" customHeight="1" x14ac:dyDescent="0.3">
      <c r="A337" s="172"/>
      <c r="B337" s="172"/>
      <c r="C337" s="172"/>
      <c r="D337" s="172"/>
      <c r="E337" s="172"/>
      <c r="F337" s="172"/>
      <c r="G337" s="172"/>
    </row>
    <row r="338" spans="1:7" ht="21" customHeight="1" x14ac:dyDescent="0.3">
      <c r="A338" s="172"/>
      <c r="B338" s="172"/>
      <c r="C338" s="172"/>
      <c r="D338" s="172"/>
      <c r="E338" s="172"/>
      <c r="F338" s="172"/>
      <c r="G338" s="172"/>
    </row>
    <row r="339" spans="1:7" ht="21" customHeight="1" x14ac:dyDescent="0.3">
      <c r="A339" s="172"/>
      <c r="B339" s="172"/>
      <c r="C339" s="172"/>
      <c r="D339" s="172"/>
      <c r="E339" s="172"/>
      <c r="F339" s="172"/>
      <c r="G339" s="172"/>
    </row>
    <row r="340" spans="1:7" ht="21" customHeight="1" x14ac:dyDescent="0.3">
      <c r="A340" s="172"/>
      <c r="B340" s="172"/>
      <c r="C340" s="172"/>
      <c r="D340" s="172"/>
      <c r="E340" s="172"/>
      <c r="F340" s="172"/>
      <c r="G340" s="172"/>
    </row>
    <row r="341" spans="1:7" ht="21" customHeight="1" x14ac:dyDescent="0.3">
      <c r="A341" s="172"/>
      <c r="B341" s="172"/>
      <c r="C341" s="172"/>
      <c r="D341" s="172"/>
      <c r="E341" s="172"/>
      <c r="F341" s="172"/>
      <c r="G341" s="172"/>
    </row>
    <row r="342" spans="1:7" ht="21" customHeight="1" x14ac:dyDescent="0.3">
      <c r="A342" s="172"/>
      <c r="B342" s="172"/>
      <c r="C342" s="172"/>
      <c r="D342" s="172"/>
      <c r="E342" s="172"/>
      <c r="F342" s="172"/>
      <c r="G342" s="172"/>
    </row>
    <row r="343" spans="1:7" ht="21" customHeight="1" x14ac:dyDescent="0.3">
      <c r="A343" s="172"/>
      <c r="B343" s="172"/>
      <c r="C343" s="172"/>
      <c r="D343" s="172"/>
      <c r="E343" s="172"/>
      <c r="F343" s="172"/>
      <c r="G343" s="172"/>
    </row>
    <row r="344" spans="1:7" ht="21" customHeight="1" x14ac:dyDescent="0.3">
      <c r="A344" s="172"/>
      <c r="B344" s="172"/>
      <c r="C344" s="172"/>
      <c r="D344" s="172"/>
      <c r="E344" s="172"/>
      <c r="F344" s="172"/>
      <c r="G344" s="172"/>
    </row>
    <row r="345" spans="1:7" ht="21" customHeight="1" x14ac:dyDescent="0.3">
      <c r="A345" s="172"/>
      <c r="B345" s="172"/>
      <c r="C345" s="172"/>
      <c r="D345" s="172"/>
      <c r="E345" s="172"/>
      <c r="F345" s="172"/>
      <c r="G345" s="172"/>
    </row>
    <row r="346" spans="1:7" ht="21" customHeight="1" x14ac:dyDescent="0.3">
      <c r="A346" s="172"/>
      <c r="B346" s="172"/>
      <c r="C346" s="172"/>
      <c r="D346" s="172"/>
      <c r="E346" s="172"/>
      <c r="F346" s="172"/>
      <c r="G346" s="172"/>
    </row>
    <row r="347" spans="1:7" ht="21" customHeight="1" x14ac:dyDescent="0.3">
      <c r="A347" s="172"/>
      <c r="B347" s="172"/>
      <c r="C347" s="172"/>
      <c r="D347" s="172"/>
      <c r="E347" s="172"/>
      <c r="F347" s="172"/>
      <c r="G347" s="172"/>
    </row>
    <row r="348" spans="1:7" ht="21" customHeight="1" x14ac:dyDescent="0.3">
      <c r="A348" s="172"/>
      <c r="B348" s="172"/>
      <c r="C348" s="172"/>
      <c r="D348" s="172"/>
      <c r="E348" s="172"/>
      <c r="F348" s="172"/>
      <c r="G348" s="172"/>
    </row>
    <row r="349" spans="1:7" ht="21" customHeight="1" x14ac:dyDescent="0.3">
      <c r="A349" s="172"/>
      <c r="B349" s="172"/>
      <c r="C349" s="172"/>
      <c r="D349" s="172"/>
      <c r="E349" s="172"/>
      <c r="F349" s="172"/>
      <c r="G349" s="172"/>
    </row>
    <row r="350" spans="1:7" ht="21" customHeight="1" x14ac:dyDescent="0.3">
      <c r="A350" s="172"/>
      <c r="B350" s="172"/>
      <c r="C350" s="172"/>
      <c r="D350" s="172"/>
      <c r="E350" s="172"/>
      <c r="F350" s="172"/>
      <c r="G350" s="172"/>
    </row>
    <row r="351" spans="1:7" ht="21" customHeight="1" x14ac:dyDescent="0.3">
      <c r="A351" s="172"/>
      <c r="B351" s="172"/>
      <c r="C351" s="172"/>
      <c r="D351" s="172"/>
      <c r="E351" s="172"/>
      <c r="F351" s="172"/>
      <c r="G351" s="172"/>
    </row>
    <row r="352" spans="1:7" ht="21" customHeight="1" x14ac:dyDescent="0.3">
      <c r="A352" s="172"/>
      <c r="B352" s="172"/>
      <c r="C352" s="172"/>
      <c r="D352" s="172"/>
      <c r="E352" s="172"/>
      <c r="F352" s="172"/>
      <c r="G352" s="172"/>
    </row>
    <row r="353" spans="1:7" ht="21" customHeight="1" x14ac:dyDescent="0.3">
      <c r="A353" s="172"/>
      <c r="B353" s="172"/>
      <c r="C353" s="172"/>
      <c r="D353" s="172"/>
      <c r="E353" s="172"/>
      <c r="F353" s="172"/>
      <c r="G353" s="172"/>
    </row>
    <row r="354" spans="1:7" ht="21" customHeight="1" x14ac:dyDescent="0.3">
      <c r="A354" s="172"/>
      <c r="B354" s="172"/>
      <c r="C354" s="172"/>
      <c r="D354" s="172"/>
      <c r="E354" s="172"/>
      <c r="F354" s="172"/>
      <c r="G354" s="172"/>
    </row>
    <row r="355" spans="1:7" ht="21" customHeight="1" x14ac:dyDescent="0.3">
      <c r="A355" s="172"/>
      <c r="B355" s="172"/>
      <c r="C355" s="172"/>
      <c r="D355" s="172"/>
      <c r="E355" s="172"/>
      <c r="F355" s="172"/>
      <c r="G355" s="172"/>
    </row>
    <row r="356" spans="1:7" ht="21" customHeight="1" x14ac:dyDescent="0.3">
      <c r="A356" s="172"/>
      <c r="B356" s="172"/>
      <c r="C356" s="172"/>
      <c r="D356" s="172"/>
      <c r="E356" s="172"/>
      <c r="F356" s="172"/>
      <c r="G356" s="172"/>
    </row>
    <row r="357" spans="1:7" ht="21" customHeight="1" x14ac:dyDescent="0.3">
      <c r="A357" s="172"/>
      <c r="B357" s="172"/>
      <c r="C357" s="172"/>
      <c r="D357" s="172"/>
      <c r="E357" s="172"/>
      <c r="F357" s="172"/>
      <c r="G357" s="172"/>
    </row>
    <row r="358" spans="1:7" ht="21" customHeight="1" x14ac:dyDescent="0.3">
      <c r="A358" s="172"/>
      <c r="B358" s="172"/>
      <c r="C358" s="172"/>
      <c r="D358" s="172"/>
      <c r="E358" s="172"/>
      <c r="F358" s="172"/>
      <c r="G358" s="172"/>
    </row>
    <row r="359" spans="1:7" ht="21" customHeight="1" x14ac:dyDescent="0.3">
      <c r="A359" s="172"/>
      <c r="B359" s="172"/>
      <c r="C359" s="172"/>
      <c r="D359" s="172"/>
      <c r="E359" s="172"/>
      <c r="F359" s="172"/>
      <c r="G359" s="172"/>
    </row>
    <row r="360" spans="1:7" ht="21" customHeight="1" x14ac:dyDescent="0.3">
      <c r="A360" s="172"/>
      <c r="B360" s="172"/>
      <c r="C360" s="172"/>
      <c r="D360" s="172"/>
      <c r="E360" s="172"/>
      <c r="F360" s="172"/>
      <c r="G360" s="172"/>
    </row>
    <row r="361" spans="1:7" ht="21" customHeight="1" x14ac:dyDescent="0.3">
      <c r="A361" s="172"/>
      <c r="B361" s="172"/>
      <c r="C361" s="172"/>
      <c r="D361" s="172"/>
      <c r="E361" s="172"/>
      <c r="F361" s="172"/>
      <c r="G361" s="172"/>
    </row>
    <row r="362" spans="1:7" ht="21" customHeight="1" x14ac:dyDescent="0.3">
      <c r="A362" s="172"/>
      <c r="B362" s="172"/>
      <c r="C362" s="172"/>
      <c r="D362" s="172"/>
      <c r="E362" s="172"/>
      <c r="F362" s="172"/>
      <c r="G362" s="172"/>
    </row>
    <row r="363" spans="1:7" ht="21" customHeight="1" x14ac:dyDescent="0.3">
      <c r="A363" s="172"/>
      <c r="B363" s="172"/>
      <c r="C363" s="172"/>
      <c r="D363" s="172"/>
      <c r="E363" s="172"/>
      <c r="F363" s="172"/>
      <c r="G363" s="172"/>
    </row>
    <row r="364" spans="1:7" ht="21" customHeight="1" x14ac:dyDescent="0.3">
      <c r="A364" s="172"/>
      <c r="B364" s="172"/>
      <c r="C364" s="172"/>
      <c r="D364" s="172"/>
      <c r="E364" s="172"/>
      <c r="F364" s="172"/>
      <c r="G364" s="172"/>
    </row>
    <row r="365" spans="1:7" ht="21" customHeight="1" x14ac:dyDescent="0.3">
      <c r="A365" s="172"/>
      <c r="B365" s="172"/>
      <c r="C365" s="172"/>
      <c r="D365" s="172"/>
      <c r="E365" s="172"/>
      <c r="F365" s="172"/>
      <c r="G365" s="172"/>
    </row>
    <row r="366" spans="1:7" ht="21" customHeight="1" x14ac:dyDescent="0.3">
      <c r="A366" s="172"/>
      <c r="B366" s="172"/>
      <c r="C366" s="172"/>
      <c r="D366" s="172"/>
      <c r="E366" s="172"/>
      <c r="F366" s="172"/>
      <c r="G366" s="172"/>
    </row>
    <row r="367" spans="1:7" ht="21" customHeight="1" x14ac:dyDescent="0.3">
      <c r="A367" s="172"/>
      <c r="B367" s="172"/>
      <c r="C367" s="172"/>
      <c r="D367" s="172"/>
      <c r="E367" s="172"/>
      <c r="F367" s="172"/>
      <c r="G367" s="172"/>
    </row>
    <row r="368" spans="1:7" ht="21" customHeight="1" x14ac:dyDescent="0.3">
      <c r="A368" s="172"/>
      <c r="B368" s="172"/>
      <c r="C368" s="172"/>
      <c r="D368" s="172"/>
      <c r="E368" s="172"/>
      <c r="F368" s="172"/>
      <c r="G368" s="172"/>
    </row>
    <row r="369" spans="1:7" ht="21" customHeight="1" x14ac:dyDescent="0.3">
      <c r="A369" s="172"/>
      <c r="B369" s="172"/>
      <c r="C369" s="172"/>
      <c r="D369" s="172"/>
      <c r="E369" s="172"/>
      <c r="F369" s="172"/>
      <c r="G369" s="172"/>
    </row>
    <row r="370" spans="1:7" ht="21" customHeight="1" x14ac:dyDescent="0.3">
      <c r="A370" s="172"/>
      <c r="B370" s="172"/>
      <c r="C370" s="172"/>
      <c r="D370" s="172"/>
      <c r="E370" s="172"/>
      <c r="F370" s="172"/>
      <c r="G370" s="172"/>
    </row>
    <row r="371" spans="1:7" ht="21" customHeight="1" x14ac:dyDescent="0.3">
      <c r="A371" s="172"/>
      <c r="B371" s="172"/>
      <c r="C371" s="172"/>
      <c r="D371" s="172"/>
      <c r="E371" s="172"/>
      <c r="F371" s="172"/>
      <c r="G371" s="172"/>
    </row>
    <row r="372" spans="1:7" ht="21" customHeight="1" x14ac:dyDescent="0.3">
      <c r="A372" s="172"/>
      <c r="B372" s="172"/>
      <c r="C372" s="172"/>
      <c r="D372" s="172"/>
      <c r="E372" s="172"/>
      <c r="F372" s="172"/>
      <c r="G372" s="172"/>
    </row>
    <row r="373" spans="1:7" ht="21" customHeight="1" x14ac:dyDescent="0.3">
      <c r="A373" s="172"/>
      <c r="B373" s="172"/>
      <c r="C373" s="172"/>
      <c r="D373" s="172"/>
      <c r="E373" s="172"/>
      <c r="F373" s="172"/>
      <c r="G373" s="172"/>
    </row>
    <row r="374" spans="1:7" ht="21" customHeight="1" x14ac:dyDescent="0.3">
      <c r="A374" s="172"/>
      <c r="B374" s="172"/>
      <c r="C374" s="172"/>
      <c r="D374" s="172"/>
      <c r="E374" s="172"/>
      <c r="F374" s="172"/>
      <c r="G374" s="172"/>
    </row>
    <row r="375" spans="1:7" ht="21" customHeight="1" x14ac:dyDescent="0.3">
      <c r="A375" s="172"/>
      <c r="B375" s="172"/>
      <c r="C375" s="172"/>
      <c r="D375" s="172"/>
      <c r="E375" s="172"/>
      <c r="F375" s="172"/>
      <c r="G375" s="172"/>
    </row>
    <row r="376" spans="1:7" ht="21" customHeight="1" x14ac:dyDescent="0.3">
      <c r="A376" s="172"/>
      <c r="B376" s="172"/>
      <c r="C376" s="172"/>
      <c r="D376" s="172"/>
      <c r="E376" s="172"/>
      <c r="F376" s="172"/>
      <c r="G376" s="172"/>
    </row>
    <row r="377" spans="1:7" ht="21" customHeight="1" x14ac:dyDescent="0.3">
      <c r="A377" s="172"/>
      <c r="B377" s="172"/>
      <c r="C377" s="172"/>
      <c r="D377" s="172"/>
      <c r="E377" s="172"/>
      <c r="F377" s="172"/>
      <c r="G377" s="172"/>
    </row>
    <row r="378" spans="1:7" ht="21" customHeight="1" x14ac:dyDescent="0.3">
      <c r="A378" s="172"/>
      <c r="B378" s="172"/>
      <c r="C378" s="172"/>
      <c r="D378" s="172"/>
      <c r="E378" s="172"/>
      <c r="F378" s="172"/>
      <c r="G378" s="172"/>
    </row>
    <row r="379" spans="1:7" ht="21" customHeight="1" x14ac:dyDescent="0.3">
      <c r="A379" s="172"/>
      <c r="B379" s="172"/>
      <c r="C379" s="172"/>
      <c r="D379" s="172"/>
      <c r="E379" s="172"/>
      <c r="F379" s="172"/>
      <c r="G379" s="172"/>
    </row>
    <row r="380" spans="1:7" ht="21" customHeight="1" x14ac:dyDescent="0.3">
      <c r="A380" s="172"/>
      <c r="B380" s="172"/>
      <c r="C380" s="172"/>
      <c r="D380" s="172"/>
      <c r="E380" s="172"/>
      <c r="F380" s="172"/>
      <c r="G380" s="172"/>
    </row>
    <row r="381" spans="1:7" ht="21" customHeight="1" x14ac:dyDescent="0.3">
      <c r="A381" s="172"/>
      <c r="B381" s="172"/>
      <c r="C381" s="172"/>
      <c r="D381" s="172"/>
      <c r="E381" s="172"/>
      <c r="F381" s="172"/>
      <c r="G381" s="172"/>
    </row>
    <row r="382" spans="1:7" ht="21" customHeight="1" x14ac:dyDescent="0.3">
      <c r="A382" s="172"/>
      <c r="B382" s="172"/>
      <c r="C382" s="172"/>
      <c r="D382" s="172"/>
      <c r="E382" s="172"/>
      <c r="F382" s="172"/>
      <c r="G382" s="172"/>
    </row>
    <row r="383" spans="1:7" ht="21" customHeight="1" x14ac:dyDescent="0.3">
      <c r="A383" s="172"/>
      <c r="B383" s="172"/>
      <c r="C383" s="172"/>
      <c r="D383" s="172"/>
      <c r="E383" s="172"/>
      <c r="F383" s="172"/>
      <c r="G383" s="172"/>
    </row>
    <row r="384" spans="1:7" ht="21" customHeight="1" x14ac:dyDescent="0.3">
      <c r="A384" s="172"/>
      <c r="B384" s="172"/>
      <c r="C384" s="172"/>
      <c r="D384" s="172"/>
      <c r="E384" s="172"/>
      <c r="F384" s="172"/>
      <c r="G384" s="172"/>
    </row>
    <row r="385" spans="1:7" ht="21" customHeight="1" x14ac:dyDescent="0.3">
      <c r="A385" s="172"/>
      <c r="B385" s="172"/>
      <c r="C385" s="172"/>
      <c r="D385" s="172"/>
      <c r="E385" s="172"/>
      <c r="F385" s="172"/>
      <c r="G385" s="172"/>
    </row>
    <row r="386" spans="1:7" ht="21" customHeight="1" x14ac:dyDescent="0.3">
      <c r="A386" s="172"/>
      <c r="B386" s="172"/>
      <c r="C386" s="172"/>
      <c r="D386" s="172"/>
      <c r="E386" s="172"/>
      <c r="F386" s="172"/>
      <c r="G386" s="172"/>
    </row>
    <row r="387" spans="1:7" ht="21" customHeight="1" x14ac:dyDescent="0.3">
      <c r="A387" s="172"/>
      <c r="B387" s="172"/>
      <c r="C387" s="172"/>
      <c r="D387" s="172"/>
      <c r="E387" s="172"/>
      <c r="F387" s="172"/>
      <c r="G387" s="172"/>
    </row>
    <row r="388" spans="1:7" ht="21" customHeight="1" x14ac:dyDescent="0.3">
      <c r="A388" s="172"/>
      <c r="B388" s="172"/>
      <c r="C388" s="172"/>
      <c r="D388" s="172"/>
      <c r="E388" s="172"/>
      <c r="F388" s="172"/>
      <c r="G388" s="172"/>
    </row>
    <row r="389" spans="1:7" ht="21" customHeight="1" x14ac:dyDescent="0.3">
      <c r="A389" s="172"/>
      <c r="B389" s="172"/>
      <c r="C389" s="172"/>
      <c r="D389" s="172"/>
      <c r="E389" s="172"/>
      <c r="F389" s="172"/>
      <c r="G389" s="172"/>
    </row>
    <row r="390" spans="1:7" ht="21" customHeight="1" x14ac:dyDescent="0.3">
      <c r="A390" s="172"/>
      <c r="B390" s="172"/>
      <c r="C390" s="172"/>
      <c r="D390" s="172"/>
      <c r="E390" s="172"/>
      <c r="F390" s="172"/>
      <c r="G390" s="172"/>
    </row>
    <row r="391" spans="1:7" ht="21" customHeight="1" x14ac:dyDescent="0.3">
      <c r="A391" s="172"/>
      <c r="B391" s="172"/>
      <c r="C391" s="172"/>
      <c r="D391" s="172"/>
      <c r="E391" s="172"/>
      <c r="F391" s="172"/>
      <c r="G391" s="172"/>
    </row>
    <row r="392" spans="1:7" ht="21" customHeight="1" x14ac:dyDescent="0.3">
      <c r="A392" s="172"/>
      <c r="B392" s="172"/>
      <c r="C392" s="172"/>
      <c r="D392" s="172"/>
      <c r="E392" s="172"/>
      <c r="F392" s="172"/>
      <c r="G392" s="172"/>
    </row>
    <row r="393" spans="1:7" ht="21" customHeight="1" x14ac:dyDescent="0.3">
      <c r="A393" s="172"/>
      <c r="B393" s="172"/>
      <c r="C393" s="172"/>
      <c r="D393" s="172"/>
      <c r="E393" s="172"/>
      <c r="F393" s="172"/>
      <c r="G393" s="172"/>
    </row>
    <row r="394" spans="1:7" ht="21" customHeight="1" x14ac:dyDescent="0.3">
      <c r="A394" s="172"/>
      <c r="B394" s="172"/>
      <c r="C394" s="172"/>
      <c r="D394" s="172"/>
      <c r="E394" s="172"/>
      <c r="F394" s="172"/>
      <c r="G394" s="172"/>
    </row>
    <row r="395" spans="1:7" ht="21" customHeight="1" x14ac:dyDescent="0.3">
      <c r="A395" s="172"/>
      <c r="B395" s="172"/>
      <c r="C395" s="172"/>
      <c r="D395" s="172"/>
      <c r="E395" s="172"/>
      <c r="F395" s="172"/>
      <c r="G395" s="172"/>
    </row>
    <row r="396" spans="1:7" ht="21" customHeight="1" x14ac:dyDescent="0.3">
      <c r="A396" s="172"/>
      <c r="B396" s="172"/>
      <c r="C396" s="172"/>
      <c r="D396" s="172"/>
      <c r="E396" s="172"/>
      <c r="F396" s="172"/>
      <c r="G396" s="172"/>
    </row>
    <row r="397" spans="1:7" ht="21" customHeight="1" x14ac:dyDescent="0.3">
      <c r="A397" s="172"/>
      <c r="B397" s="172"/>
      <c r="C397" s="172"/>
      <c r="D397" s="172"/>
      <c r="E397" s="172"/>
      <c r="F397" s="172"/>
      <c r="G397" s="172"/>
    </row>
    <row r="398" spans="1:7" ht="21" customHeight="1" x14ac:dyDescent="0.3">
      <c r="A398" s="172"/>
      <c r="B398" s="172"/>
      <c r="C398" s="172"/>
      <c r="D398" s="172"/>
      <c r="E398" s="172"/>
      <c r="F398" s="172"/>
      <c r="G398" s="172"/>
    </row>
    <row r="399" spans="1:7" ht="21" customHeight="1" x14ac:dyDescent="0.3">
      <c r="A399" s="172"/>
      <c r="B399" s="172"/>
      <c r="C399" s="172"/>
      <c r="D399" s="172"/>
      <c r="E399" s="172"/>
      <c r="F399" s="172"/>
      <c r="G399" s="172"/>
    </row>
    <row r="400" spans="1:7" ht="21" customHeight="1" x14ac:dyDescent="0.3">
      <c r="A400" s="172"/>
      <c r="B400" s="172"/>
      <c r="C400" s="172"/>
      <c r="D400" s="172"/>
      <c r="E400" s="172"/>
      <c r="F400" s="172"/>
      <c r="G400" s="172"/>
    </row>
    <row r="401" spans="1:7" ht="21" customHeight="1" x14ac:dyDescent="0.3">
      <c r="A401" s="172"/>
      <c r="B401" s="172"/>
      <c r="C401" s="172"/>
      <c r="D401" s="172"/>
      <c r="E401" s="172"/>
      <c r="F401" s="172"/>
      <c r="G401" s="172"/>
    </row>
    <row r="402" spans="1:7" ht="21" customHeight="1" x14ac:dyDescent="0.3">
      <c r="A402" s="172"/>
      <c r="B402" s="172"/>
      <c r="C402" s="172"/>
      <c r="D402" s="172"/>
      <c r="E402" s="172"/>
      <c r="F402" s="172"/>
      <c r="G402" s="172"/>
    </row>
    <row r="403" spans="1:7" ht="21" customHeight="1" x14ac:dyDescent="0.3">
      <c r="A403" s="172"/>
      <c r="B403" s="172"/>
      <c r="C403" s="172"/>
      <c r="D403" s="172"/>
      <c r="E403" s="172"/>
      <c r="F403" s="172"/>
      <c r="G403" s="172"/>
    </row>
    <row r="404" spans="1:7" ht="21" customHeight="1" x14ac:dyDescent="0.3">
      <c r="A404" s="172"/>
      <c r="B404" s="172"/>
      <c r="C404" s="172"/>
      <c r="D404" s="172"/>
      <c r="E404" s="172"/>
      <c r="F404" s="172"/>
      <c r="G404" s="172"/>
    </row>
    <row r="405" spans="1:7" ht="21" customHeight="1" x14ac:dyDescent="0.3">
      <c r="A405" s="172"/>
      <c r="B405" s="172"/>
      <c r="C405" s="172"/>
      <c r="D405" s="172"/>
      <c r="E405" s="172"/>
      <c r="F405" s="172"/>
      <c r="G405" s="172"/>
    </row>
    <row r="406" spans="1:7" ht="21" customHeight="1" x14ac:dyDescent="0.3">
      <c r="A406" s="172"/>
      <c r="B406" s="172"/>
      <c r="C406" s="172"/>
      <c r="D406" s="172"/>
      <c r="E406" s="172"/>
      <c r="F406" s="172"/>
      <c r="G406" s="172"/>
    </row>
    <row r="407" spans="1:7" ht="21" customHeight="1" x14ac:dyDescent="0.3">
      <c r="A407" s="172"/>
      <c r="B407" s="172"/>
      <c r="C407" s="172"/>
      <c r="D407" s="172"/>
      <c r="E407" s="172"/>
      <c r="F407" s="172"/>
      <c r="G407" s="172"/>
    </row>
    <row r="408" spans="1:7" ht="21" customHeight="1" x14ac:dyDescent="0.3">
      <c r="A408" s="172"/>
      <c r="B408" s="172"/>
      <c r="C408" s="172"/>
      <c r="D408" s="172"/>
      <c r="E408" s="172"/>
      <c r="F408" s="172"/>
      <c r="G408" s="172"/>
    </row>
    <row r="409" spans="1:7" ht="21" customHeight="1" x14ac:dyDescent="0.3">
      <c r="A409" s="172"/>
      <c r="B409" s="172"/>
      <c r="C409" s="172"/>
      <c r="D409" s="172"/>
      <c r="E409" s="172"/>
      <c r="F409" s="172"/>
      <c r="G409" s="172"/>
    </row>
    <row r="410" spans="1:7" ht="21" customHeight="1" x14ac:dyDescent="0.3">
      <c r="A410" s="172"/>
      <c r="B410" s="172"/>
      <c r="C410" s="172"/>
      <c r="D410" s="172"/>
      <c r="E410" s="172"/>
      <c r="F410" s="172"/>
      <c r="G410" s="172"/>
    </row>
    <row r="411" spans="1:7" ht="21" customHeight="1" x14ac:dyDescent="0.3">
      <c r="A411" s="172"/>
      <c r="B411" s="172"/>
      <c r="C411" s="172"/>
      <c r="D411" s="172"/>
      <c r="E411" s="172"/>
      <c r="F411" s="172"/>
      <c r="G411" s="172"/>
    </row>
    <row r="412" spans="1:7" ht="21" customHeight="1" x14ac:dyDescent="0.3">
      <c r="A412" s="172"/>
      <c r="B412" s="172"/>
      <c r="C412" s="172"/>
      <c r="D412" s="172"/>
      <c r="E412" s="172"/>
      <c r="F412" s="172"/>
      <c r="G412" s="172"/>
    </row>
    <row r="413" spans="1:7" ht="21" customHeight="1" x14ac:dyDescent="0.3">
      <c r="A413" s="172"/>
      <c r="B413" s="172"/>
      <c r="C413" s="172"/>
      <c r="D413" s="172"/>
      <c r="E413" s="172"/>
      <c r="F413" s="172"/>
      <c r="G413" s="172"/>
    </row>
    <row r="414" spans="1:7" ht="21" customHeight="1" x14ac:dyDescent="0.3">
      <c r="A414" s="172"/>
      <c r="B414" s="172"/>
      <c r="C414" s="172"/>
      <c r="D414" s="172"/>
      <c r="E414" s="172"/>
      <c r="F414" s="172"/>
      <c r="G414" s="172"/>
    </row>
    <row r="415" spans="1:7" ht="21" customHeight="1" x14ac:dyDescent="0.3">
      <c r="A415" s="172"/>
      <c r="B415" s="172"/>
      <c r="C415" s="172"/>
      <c r="D415" s="172"/>
      <c r="E415" s="172"/>
      <c r="F415" s="172"/>
      <c r="G415" s="172"/>
    </row>
    <row r="416" spans="1:7" ht="21" customHeight="1" x14ac:dyDescent="0.3">
      <c r="A416" s="172"/>
      <c r="B416" s="172"/>
      <c r="C416" s="172"/>
      <c r="D416" s="172"/>
      <c r="E416" s="172"/>
      <c r="F416" s="172"/>
      <c r="G416" s="172"/>
    </row>
    <row r="417" spans="1:7" ht="21" customHeight="1" x14ac:dyDescent="0.3">
      <c r="A417" s="172"/>
      <c r="B417" s="172"/>
      <c r="C417" s="172"/>
      <c r="D417" s="172"/>
      <c r="E417" s="172"/>
      <c r="F417" s="172"/>
      <c r="G417" s="172"/>
    </row>
    <row r="418" spans="1:7" ht="21" customHeight="1" x14ac:dyDescent="0.3">
      <c r="A418" s="172"/>
      <c r="B418" s="172"/>
      <c r="C418" s="172"/>
      <c r="D418" s="172"/>
      <c r="E418" s="172"/>
      <c r="F418" s="172"/>
      <c r="G418" s="172"/>
    </row>
    <row r="419" spans="1:7" ht="21" customHeight="1" x14ac:dyDescent="0.3">
      <c r="A419" s="172"/>
      <c r="B419" s="172"/>
      <c r="C419" s="172"/>
      <c r="D419" s="172"/>
      <c r="E419" s="172"/>
      <c r="F419" s="172"/>
      <c r="G419" s="172"/>
    </row>
    <row r="420" spans="1:7" ht="21" customHeight="1" x14ac:dyDescent="0.3">
      <c r="A420" s="172"/>
      <c r="B420" s="172"/>
      <c r="C420" s="172"/>
      <c r="D420" s="172"/>
      <c r="E420" s="172"/>
      <c r="F420" s="172"/>
      <c r="G420" s="172"/>
    </row>
    <row r="421" spans="1:7" ht="21" customHeight="1" x14ac:dyDescent="0.3">
      <c r="A421" s="172"/>
      <c r="B421" s="172"/>
      <c r="C421" s="172"/>
      <c r="D421" s="172"/>
      <c r="E421" s="172"/>
      <c r="F421" s="172"/>
      <c r="G421" s="172"/>
    </row>
    <row r="422" spans="1:7" ht="21" customHeight="1" x14ac:dyDescent="0.3">
      <c r="A422" s="172"/>
      <c r="B422" s="172"/>
      <c r="C422" s="172"/>
      <c r="D422" s="172"/>
      <c r="E422" s="172"/>
      <c r="F422" s="172"/>
      <c r="G422" s="172"/>
    </row>
    <row r="423" spans="1:7" ht="21" customHeight="1" x14ac:dyDescent="0.3">
      <c r="A423" s="172"/>
      <c r="B423" s="172"/>
      <c r="C423" s="172"/>
      <c r="D423" s="172"/>
      <c r="E423" s="172"/>
      <c r="F423" s="172"/>
      <c r="G423" s="172"/>
    </row>
    <row r="424" spans="1:7" ht="21" customHeight="1" x14ac:dyDescent="0.3">
      <c r="A424" s="172"/>
      <c r="B424" s="172"/>
      <c r="C424" s="172"/>
      <c r="D424" s="172"/>
      <c r="E424" s="172"/>
      <c r="F424" s="172"/>
      <c r="G424" s="172"/>
    </row>
    <row r="425" spans="1:7" ht="21" customHeight="1" x14ac:dyDescent="0.3">
      <c r="A425" s="172"/>
      <c r="B425" s="172"/>
      <c r="C425" s="172"/>
      <c r="D425" s="172"/>
      <c r="E425" s="172"/>
      <c r="F425" s="172"/>
      <c r="G425" s="172"/>
    </row>
    <row r="426" spans="1:7" ht="21" customHeight="1" x14ac:dyDescent="0.3">
      <c r="A426" s="172"/>
      <c r="B426" s="172"/>
      <c r="C426" s="172"/>
      <c r="D426" s="172"/>
      <c r="E426" s="172"/>
      <c r="F426" s="172"/>
      <c r="G426" s="172"/>
    </row>
    <row r="427" spans="1:7" ht="21" customHeight="1" x14ac:dyDescent="0.3">
      <c r="A427" s="172"/>
      <c r="B427" s="172"/>
      <c r="C427" s="172"/>
      <c r="D427" s="172"/>
      <c r="E427" s="172"/>
      <c r="F427" s="172"/>
      <c r="G427" s="172"/>
    </row>
    <row r="428" spans="1:7" ht="21" customHeight="1" x14ac:dyDescent="0.3">
      <c r="A428" s="172"/>
      <c r="B428" s="172"/>
      <c r="C428" s="172"/>
      <c r="D428" s="172"/>
      <c r="E428" s="172"/>
      <c r="F428" s="172"/>
      <c r="G428" s="172"/>
    </row>
    <row r="429" spans="1:7" ht="21" customHeight="1" x14ac:dyDescent="0.3">
      <c r="A429" s="172"/>
      <c r="B429" s="172"/>
      <c r="C429" s="172"/>
      <c r="D429" s="172"/>
      <c r="E429" s="172"/>
      <c r="F429" s="172"/>
      <c r="G429" s="172"/>
    </row>
    <row r="430" spans="1:7" ht="21" customHeight="1" x14ac:dyDescent="0.3">
      <c r="A430" s="172"/>
      <c r="B430" s="172"/>
      <c r="C430" s="172"/>
      <c r="D430" s="172"/>
      <c r="E430" s="172"/>
      <c r="F430" s="172"/>
      <c r="G430" s="172"/>
    </row>
    <row r="431" spans="1:7" ht="21" customHeight="1" x14ac:dyDescent="0.3">
      <c r="A431" s="172"/>
      <c r="B431" s="172"/>
      <c r="C431" s="172"/>
      <c r="D431" s="172"/>
      <c r="E431" s="172"/>
      <c r="F431" s="172"/>
      <c r="G431" s="172"/>
    </row>
    <row r="432" spans="1:7" ht="21" customHeight="1" x14ac:dyDescent="0.3">
      <c r="A432" s="172"/>
      <c r="B432" s="172"/>
      <c r="C432" s="172"/>
      <c r="D432" s="172"/>
      <c r="E432" s="172"/>
      <c r="F432" s="172"/>
      <c r="G432" s="172"/>
    </row>
    <row r="433" spans="1:7" ht="21" customHeight="1" x14ac:dyDescent="0.3">
      <c r="A433" s="172"/>
      <c r="B433" s="172"/>
      <c r="C433" s="172"/>
      <c r="D433" s="172"/>
      <c r="E433" s="172"/>
      <c r="F433" s="172"/>
      <c r="G433" s="172"/>
    </row>
    <row r="434" spans="1:7" ht="21" customHeight="1" x14ac:dyDescent="0.3">
      <c r="A434" s="172"/>
      <c r="B434" s="172"/>
      <c r="C434" s="172"/>
      <c r="D434" s="172"/>
      <c r="E434" s="172"/>
      <c r="F434" s="172"/>
      <c r="G434" s="172"/>
    </row>
    <row r="435" spans="1:7" ht="21" customHeight="1" x14ac:dyDescent="0.3">
      <c r="A435" s="172"/>
      <c r="B435" s="172"/>
      <c r="C435" s="172"/>
      <c r="D435" s="172"/>
      <c r="E435" s="172"/>
      <c r="F435" s="172"/>
      <c r="G435" s="172"/>
    </row>
    <row r="436" spans="1:7" ht="21" customHeight="1" x14ac:dyDescent="0.3">
      <c r="A436" s="172"/>
      <c r="B436" s="172"/>
      <c r="C436" s="172"/>
      <c r="D436" s="172"/>
      <c r="E436" s="172"/>
      <c r="F436" s="172"/>
      <c r="G436" s="172"/>
    </row>
    <row r="437" spans="1:7" ht="21" customHeight="1" x14ac:dyDescent="0.3">
      <c r="A437" s="172"/>
      <c r="B437" s="172"/>
      <c r="C437" s="172"/>
      <c r="D437" s="172"/>
      <c r="E437" s="172"/>
      <c r="F437" s="172"/>
      <c r="G437" s="172"/>
    </row>
    <row r="438" spans="1:7" ht="21" customHeight="1" x14ac:dyDescent="0.3">
      <c r="A438" s="172"/>
      <c r="B438" s="172"/>
      <c r="C438" s="172"/>
      <c r="D438" s="172"/>
      <c r="E438" s="172"/>
      <c r="F438" s="172"/>
      <c r="G438" s="172"/>
    </row>
    <row r="439" spans="1:7" ht="21" customHeight="1" x14ac:dyDescent="0.3">
      <c r="A439" s="172"/>
      <c r="B439" s="172"/>
      <c r="C439" s="172"/>
      <c r="D439" s="172"/>
      <c r="E439" s="172"/>
      <c r="F439" s="172"/>
      <c r="G439" s="172"/>
    </row>
    <row r="440" spans="1:7" ht="21" customHeight="1" x14ac:dyDescent="0.3">
      <c r="A440" s="172"/>
      <c r="B440" s="172"/>
      <c r="C440" s="172"/>
      <c r="D440" s="172"/>
      <c r="E440" s="172"/>
      <c r="F440" s="172"/>
      <c r="G440" s="172"/>
    </row>
    <row r="441" spans="1:7" ht="21" customHeight="1" x14ac:dyDescent="0.3">
      <c r="A441" s="172"/>
      <c r="B441" s="172"/>
      <c r="C441" s="172"/>
      <c r="D441" s="172"/>
      <c r="E441" s="172"/>
      <c r="F441" s="172"/>
      <c r="G441" s="172"/>
    </row>
    <row r="442" spans="1:7" ht="21" customHeight="1" x14ac:dyDescent="0.3">
      <c r="A442" s="172"/>
      <c r="B442" s="172"/>
      <c r="C442" s="172"/>
      <c r="D442" s="172"/>
      <c r="E442" s="172"/>
      <c r="F442" s="172"/>
      <c r="G442" s="172"/>
    </row>
    <row r="443" spans="1:7" ht="21" customHeight="1" x14ac:dyDescent="0.3">
      <c r="A443" s="172"/>
      <c r="B443" s="172"/>
      <c r="C443" s="172"/>
      <c r="D443" s="172"/>
      <c r="E443" s="172"/>
      <c r="F443" s="172"/>
      <c r="G443" s="172"/>
    </row>
    <row r="444" spans="1:7" ht="21" customHeight="1" x14ac:dyDescent="0.3">
      <c r="A444" s="172"/>
      <c r="B444" s="172"/>
      <c r="C444" s="172"/>
      <c r="D444" s="172"/>
      <c r="E444" s="172"/>
      <c r="F444" s="172"/>
      <c r="G444" s="172"/>
    </row>
    <row r="445" spans="1:7" ht="21" customHeight="1" x14ac:dyDescent="0.3">
      <c r="A445" s="172"/>
      <c r="B445" s="172"/>
      <c r="C445" s="172"/>
      <c r="D445" s="172"/>
      <c r="E445" s="172"/>
      <c r="F445" s="172"/>
      <c r="G445" s="172"/>
    </row>
    <row r="446" spans="1:7" ht="21" customHeight="1" x14ac:dyDescent="0.3">
      <c r="A446" s="172"/>
      <c r="B446" s="172"/>
      <c r="C446" s="172"/>
      <c r="D446" s="172"/>
      <c r="E446" s="172"/>
      <c r="F446" s="172"/>
      <c r="G446" s="172"/>
    </row>
    <row r="447" spans="1:7" ht="21" customHeight="1" x14ac:dyDescent="0.3">
      <c r="A447" s="172"/>
      <c r="B447" s="172"/>
      <c r="C447" s="172"/>
      <c r="D447" s="172"/>
      <c r="E447" s="172"/>
      <c r="F447" s="172"/>
      <c r="G447" s="172"/>
    </row>
    <row r="448" spans="1:7" ht="21" customHeight="1" x14ac:dyDescent="0.3">
      <c r="A448" s="172"/>
      <c r="B448" s="172"/>
      <c r="C448" s="172"/>
      <c r="D448" s="172"/>
      <c r="E448" s="172"/>
      <c r="F448" s="172"/>
      <c r="G448" s="172"/>
    </row>
    <row r="449" spans="1:7" ht="21" customHeight="1" x14ac:dyDescent="0.3">
      <c r="A449" s="172"/>
      <c r="B449" s="172"/>
      <c r="C449" s="172"/>
      <c r="D449" s="172"/>
      <c r="E449" s="172"/>
      <c r="F449" s="172"/>
      <c r="G449" s="172"/>
    </row>
    <row r="450" spans="1:7" ht="21" customHeight="1" x14ac:dyDescent="0.3">
      <c r="A450" s="172"/>
      <c r="B450" s="172"/>
      <c r="C450" s="172"/>
      <c r="D450" s="172"/>
      <c r="E450" s="172"/>
      <c r="F450" s="172"/>
      <c r="G450" s="172"/>
    </row>
    <row r="451" spans="1:7" ht="21" customHeight="1" x14ac:dyDescent="0.3">
      <c r="A451" s="172"/>
      <c r="B451" s="172"/>
      <c r="C451" s="172"/>
      <c r="D451" s="172"/>
      <c r="E451" s="172"/>
      <c r="F451" s="172"/>
      <c r="G451" s="172"/>
    </row>
    <row r="452" spans="1:7" ht="21" customHeight="1" x14ac:dyDescent="0.3">
      <c r="A452" s="172"/>
      <c r="B452" s="172"/>
      <c r="C452" s="172"/>
      <c r="D452" s="172"/>
      <c r="E452" s="172"/>
      <c r="F452" s="172"/>
      <c r="G452" s="172"/>
    </row>
    <row r="453" spans="1:7" ht="21" customHeight="1" x14ac:dyDescent="0.3">
      <c r="A453" s="172"/>
      <c r="B453" s="172"/>
      <c r="C453" s="172"/>
      <c r="D453" s="172"/>
      <c r="E453" s="172"/>
      <c r="F453" s="172"/>
      <c r="G453" s="172"/>
    </row>
    <row r="454" spans="1:7" ht="21" customHeight="1" x14ac:dyDescent="0.3">
      <c r="A454" s="172"/>
      <c r="B454" s="172"/>
      <c r="C454" s="172"/>
      <c r="D454" s="172"/>
      <c r="E454" s="172"/>
      <c r="F454" s="172"/>
      <c r="G454" s="172"/>
    </row>
    <row r="455" spans="1:7" ht="21" customHeight="1" x14ac:dyDescent="0.3">
      <c r="A455" s="172"/>
      <c r="B455" s="172"/>
      <c r="C455" s="172"/>
      <c r="D455" s="172"/>
      <c r="E455" s="172"/>
      <c r="F455" s="172"/>
      <c r="G455" s="172"/>
    </row>
    <row r="456" spans="1:7" ht="21" customHeight="1" x14ac:dyDescent="0.3">
      <c r="A456" s="172"/>
      <c r="B456" s="172"/>
      <c r="C456" s="172"/>
      <c r="D456" s="172"/>
      <c r="E456" s="172"/>
      <c r="F456" s="172"/>
      <c r="G456" s="172"/>
    </row>
    <row r="457" spans="1:7" ht="21" customHeight="1" x14ac:dyDescent="0.3">
      <c r="A457" s="172"/>
      <c r="B457" s="172"/>
      <c r="C457" s="172"/>
      <c r="D457" s="172"/>
      <c r="E457" s="172"/>
      <c r="F457" s="172"/>
      <c r="G457" s="172"/>
    </row>
    <row r="458" spans="1:7" ht="21" customHeight="1" x14ac:dyDescent="0.3">
      <c r="A458" s="172"/>
      <c r="B458" s="172"/>
      <c r="C458" s="172"/>
      <c r="D458" s="172"/>
      <c r="E458" s="172"/>
      <c r="F458" s="172"/>
      <c r="G458" s="172"/>
    </row>
    <row r="459" spans="1:7" ht="21" customHeight="1" x14ac:dyDescent="0.3">
      <c r="A459" s="172"/>
      <c r="B459" s="172"/>
      <c r="C459" s="172"/>
      <c r="D459" s="172"/>
      <c r="E459" s="172"/>
      <c r="F459" s="172"/>
      <c r="G459" s="172"/>
    </row>
    <row r="460" spans="1:7" ht="21" customHeight="1" x14ac:dyDescent="0.3">
      <c r="A460" s="172"/>
      <c r="B460" s="172"/>
      <c r="C460" s="172"/>
      <c r="D460" s="172"/>
      <c r="E460" s="172"/>
      <c r="F460" s="172"/>
      <c r="G460" s="172"/>
    </row>
    <row r="461" spans="1:7" ht="21" customHeight="1" x14ac:dyDescent="0.3">
      <c r="A461" s="172"/>
      <c r="B461" s="172"/>
      <c r="C461" s="172"/>
      <c r="D461" s="172"/>
      <c r="E461" s="172"/>
      <c r="F461" s="172"/>
      <c r="G461" s="172"/>
    </row>
    <row r="462" spans="1:7" ht="21" customHeight="1" x14ac:dyDescent="0.3">
      <c r="A462" s="172"/>
      <c r="B462" s="172"/>
      <c r="C462" s="172"/>
      <c r="D462" s="172"/>
      <c r="E462" s="172"/>
      <c r="F462" s="172"/>
      <c r="G462" s="172"/>
    </row>
    <row r="463" spans="1:7" ht="21" customHeight="1" x14ac:dyDescent="0.3">
      <c r="A463" s="172"/>
      <c r="B463" s="172"/>
      <c r="C463" s="172"/>
      <c r="D463" s="172"/>
      <c r="E463" s="172"/>
      <c r="F463" s="172"/>
      <c r="G463" s="172"/>
    </row>
    <row r="464" spans="1:7" ht="21" customHeight="1" x14ac:dyDescent="0.3">
      <c r="A464" s="172"/>
      <c r="B464" s="172"/>
      <c r="C464" s="172"/>
      <c r="D464" s="172"/>
      <c r="E464" s="172"/>
      <c r="F464" s="172"/>
      <c r="G464" s="172"/>
    </row>
    <row r="465" spans="1:7" ht="21" customHeight="1" x14ac:dyDescent="0.3">
      <c r="A465" s="172"/>
      <c r="B465" s="172"/>
      <c r="C465" s="172"/>
      <c r="D465" s="172"/>
      <c r="E465" s="172"/>
      <c r="F465" s="172"/>
      <c r="G465" s="172"/>
    </row>
    <row r="466" spans="1:7" ht="21" customHeight="1" x14ac:dyDescent="0.3">
      <c r="A466" s="172"/>
      <c r="B466" s="172"/>
      <c r="C466" s="172"/>
      <c r="D466" s="172"/>
      <c r="E466" s="172"/>
      <c r="F466" s="172"/>
      <c r="G466" s="172"/>
    </row>
    <row r="467" spans="1:7" ht="21" customHeight="1" x14ac:dyDescent="0.3">
      <c r="A467" s="172"/>
      <c r="B467" s="172"/>
      <c r="C467" s="172"/>
      <c r="D467" s="172"/>
      <c r="E467" s="172"/>
      <c r="F467" s="172"/>
      <c r="G467" s="172"/>
    </row>
    <row r="468" spans="1:7" ht="21" customHeight="1" x14ac:dyDescent="0.3">
      <c r="A468" s="172"/>
      <c r="B468" s="172"/>
      <c r="C468" s="172"/>
      <c r="D468" s="172"/>
      <c r="E468" s="172"/>
      <c r="F468" s="172"/>
      <c r="G468" s="172"/>
    </row>
    <row r="469" spans="1:7" ht="21" customHeight="1" x14ac:dyDescent="0.3">
      <c r="A469" s="172"/>
      <c r="B469" s="172"/>
      <c r="C469" s="172"/>
      <c r="D469" s="172"/>
      <c r="E469" s="172"/>
      <c r="F469" s="172"/>
      <c r="G469" s="172"/>
    </row>
    <row r="470" spans="1:7" ht="21" customHeight="1" x14ac:dyDescent="0.3">
      <c r="A470" s="172"/>
      <c r="B470" s="172"/>
      <c r="C470" s="172"/>
      <c r="D470" s="172"/>
      <c r="E470" s="172"/>
      <c r="F470" s="172"/>
      <c r="G470" s="172"/>
    </row>
    <row r="471" spans="1:7" ht="21" customHeight="1" x14ac:dyDescent="0.3">
      <c r="A471" s="172"/>
      <c r="B471" s="172"/>
      <c r="C471" s="172"/>
      <c r="D471" s="172"/>
      <c r="E471" s="172"/>
      <c r="F471" s="172"/>
      <c r="G471" s="172"/>
    </row>
    <row r="472" spans="1:7" ht="21" customHeight="1" x14ac:dyDescent="0.3">
      <c r="A472" s="172"/>
      <c r="B472" s="172"/>
      <c r="C472" s="172"/>
      <c r="D472" s="172"/>
      <c r="E472" s="172"/>
      <c r="F472" s="172"/>
      <c r="G472" s="172"/>
    </row>
    <row r="473" spans="1:7" ht="21" customHeight="1" x14ac:dyDescent="0.3">
      <c r="A473" s="172"/>
      <c r="B473" s="172"/>
      <c r="C473" s="172"/>
      <c r="D473" s="172"/>
      <c r="E473" s="172"/>
      <c r="F473" s="172"/>
      <c r="G473" s="172"/>
    </row>
    <row r="474" spans="1:7" ht="21" customHeight="1" x14ac:dyDescent="0.3">
      <c r="A474" s="172"/>
      <c r="B474" s="172"/>
      <c r="C474" s="172"/>
      <c r="D474" s="172"/>
      <c r="E474" s="172"/>
      <c r="F474" s="172"/>
      <c r="G474" s="172"/>
    </row>
    <row r="475" spans="1:7" ht="21" customHeight="1" x14ac:dyDescent="0.3">
      <c r="A475" s="172"/>
      <c r="B475" s="172"/>
      <c r="C475" s="172"/>
      <c r="D475" s="172"/>
      <c r="E475" s="172"/>
      <c r="F475" s="172"/>
      <c r="G475" s="172"/>
    </row>
    <row r="476" spans="1:7" ht="21" customHeight="1" x14ac:dyDescent="0.3">
      <c r="A476" s="172"/>
      <c r="B476" s="172"/>
      <c r="C476" s="172"/>
      <c r="D476" s="172"/>
      <c r="E476" s="172"/>
      <c r="F476" s="172"/>
      <c r="G476" s="172"/>
    </row>
    <row r="477" spans="1:7" ht="21" customHeight="1" x14ac:dyDescent="0.3">
      <c r="A477" s="172"/>
      <c r="B477" s="172"/>
      <c r="C477" s="172"/>
      <c r="D477" s="172"/>
      <c r="E477" s="172"/>
      <c r="F477" s="172"/>
      <c r="G477" s="172"/>
    </row>
    <row r="478" spans="1:7" ht="21" customHeight="1" x14ac:dyDescent="0.3">
      <c r="A478" s="172"/>
      <c r="B478" s="172"/>
      <c r="C478" s="172"/>
      <c r="D478" s="172"/>
      <c r="E478" s="172"/>
      <c r="F478" s="172"/>
      <c r="G478" s="172"/>
    </row>
    <row r="479" spans="1:7" ht="21" customHeight="1" x14ac:dyDescent="0.3">
      <c r="A479" s="172"/>
      <c r="B479" s="172"/>
      <c r="C479" s="172"/>
      <c r="D479" s="172"/>
      <c r="E479" s="172"/>
      <c r="F479" s="172"/>
      <c r="G479" s="172"/>
    </row>
    <row r="480" spans="1:7" ht="21" customHeight="1" x14ac:dyDescent="0.3">
      <c r="A480" s="172"/>
      <c r="B480" s="172"/>
      <c r="C480" s="172"/>
      <c r="D480" s="172"/>
      <c r="E480" s="172"/>
      <c r="F480" s="172"/>
      <c r="G480" s="172"/>
    </row>
    <row r="481" spans="1:7" ht="21" customHeight="1" x14ac:dyDescent="0.3">
      <c r="A481" s="172"/>
      <c r="B481" s="172"/>
      <c r="C481" s="172"/>
      <c r="D481" s="172"/>
      <c r="E481" s="172"/>
      <c r="F481" s="172"/>
      <c r="G481" s="172"/>
    </row>
    <row r="482" spans="1:7" ht="21" customHeight="1" x14ac:dyDescent="0.3">
      <c r="A482" s="172"/>
      <c r="B482" s="172"/>
      <c r="C482" s="172"/>
      <c r="D482" s="172"/>
      <c r="E482" s="172"/>
      <c r="F482" s="172"/>
      <c r="G482" s="172"/>
    </row>
    <row r="483" spans="1:7" ht="21" customHeight="1" x14ac:dyDescent="0.3">
      <c r="A483" s="172"/>
      <c r="B483" s="172"/>
      <c r="C483" s="172"/>
      <c r="D483" s="172"/>
      <c r="E483" s="172"/>
      <c r="F483" s="172"/>
      <c r="G483" s="172"/>
    </row>
    <row r="484" spans="1:7" ht="21" customHeight="1" x14ac:dyDescent="0.3">
      <c r="A484" s="172"/>
      <c r="B484" s="172"/>
      <c r="C484" s="172"/>
      <c r="D484" s="172"/>
      <c r="E484" s="172"/>
      <c r="F484" s="172"/>
      <c r="G484" s="172"/>
    </row>
    <row r="485" spans="1:7" ht="21" customHeight="1" x14ac:dyDescent="0.3">
      <c r="A485" s="172"/>
      <c r="B485" s="172"/>
      <c r="C485" s="172"/>
      <c r="D485" s="172"/>
      <c r="E485" s="172"/>
      <c r="F485" s="172"/>
      <c r="G485" s="172"/>
    </row>
    <row r="486" spans="1:7" ht="21" customHeight="1" x14ac:dyDescent="0.3">
      <c r="A486" s="172"/>
      <c r="B486" s="172"/>
      <c r="C486" s="172"/>
      <c r="D486" s="172"/>
      <c r="E486" s="172"/>
      <c r="F486" s="172"/>
      <c r="G486" s="172"/>
    </row>
    <row r="487" spans="1:7" ht="21" customHeight="1" x14ac:dyDescent="0.3">
      <c r="A487" s="172"/>
      <c r="B487" s="172"/>
      <c r="C487" s="172"/>
      <c r="D487" s="172"/>
      <c r="E487" s="172"/>
      <c r="F487" s="172"/>
      <c r="G487" s="172"/>
    </row>
    <row r="488" spans="1:7" ht="21" customHeight="1" x14ac:dyDescent="0.3">
      <c r="A488" s="172"/>
      <c r="B488" s="172"/>
      <c r="C488" s="172"/>
      <c r="D488" s="172"/>
      <c r="E488" s="172"/>
      <c r="F488" s="172"/>
      <c r="G488" s="172"/>
    </row>
    <row r="489" spans="1:7" ht="21" customHeight="1" x14ac:dyDescent="0.3">
      <c r="A489" s="172"/>
      <c r="B489" s="172"/>
      <c r="C489" s="172"/>
      <c r="D489" s="172"/>
      <c r="E489" s="172"/>
      <c r="F489" s="172"/>
      <c r="G489" s="172"/>
    </row>
    <row r="490" spans="1:7" ht="21" customHeight="1" x14ac:dyDescent="0.3">
      <c r="A490" s="172"/>
      <c r="B490" s="172"/>
      <c r="C490" s="172"/>
      <c r="D490" s="172"/>
      <c r="E490" s="172"/>
      <c r="F490" s="172"/>
      <c r="G490" s="172"/>
    </row>
    <row r="491" spans="1:7" ht="21" customHeight="1" x14ac:dyDescent="0.3">
      <c r="A491" s="172"/>
      <c r="B491" s="172"/>
      <c r="C491" s="172"/>
      <c r="D491" s="172"/>
      <c r="E491" s="172"/>
      <c r="F491" s="172"/>
      <c r="G491" s="172"/>
    </row>
    <row r="492" spans="1:7" ht="21" customHeight="1" x14ac:dyDescent="0.3">
      <c r="A492" s="172"/>
      <c r="B492" s="172"/>
      <c r="C492" s="172"/>
      <c r="D492" s="172"/>
      <c r="E492" s="172"/>
      <c r="F492" s="172"/>
      <c r="G492" s="172"/>
    </row>
    <row r="493" spans="1:7" ht="21" customHeight="1" x14ac:dyDescent="0.3">
      <c r="A493" s="172"/>
      <c r="B493" s="172"/>
      <c r="C493" s="172"/>
      <c r="D493" s="172"/>
      <c r="E493" s="172"/>
      <c r="F493" s="172"/>
      <c r="G493" s="172"/>
    </row>
    <row r="494" spans="1:7" ht="21" customHeight="1" x14ac:dyDescent="0.3">
      <c r="A494" s="172"/>
      <c r="B494" s="172"/>
      <c r="C494" s="172"/>
      <c r="D494" s="172"/>
      <c r="E494" s="172"/>
      <c r="F494" s="172"/>
      <c r="G494" s="172"/>
    </row>
  </sheetData>
  <mergeCells count="1">
    <mergeCell ref="A9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Table_S1 (HC_on_nanoSIMS_Data)</vt:lpstr>
      <vt:lpstr>Table_S1 (HC_single-cell_Data)</vt:lpstr>
      <vt:lpstr>'Table_S1 (HC_on_nanoSIMS_Data)'!_13C14N_12C14N_2</vt:lpstr>
    </vt:vector>
  </TitlesOfParts>
  <Company>UFZ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Hryhoriy Stryhanyuk</cp:lastModifiedBy>
  <cp:lastPrinted>2018-10-09T08:08:30Z</cp:lastPrinted>
  <dcterms:created xsi:type="dcterms:W3CDTF">2017-05-11T15:07:09Z</dcterms:created>
  <dcterms:modified xsi:type="dcterms:W3CDTF">2019-12-17T07:56:56Z</dcterms:modified>
</cp:coreProperties>
</file>