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4.xml" ContentType="application/vnd.ms-office.chartsty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style3.xml" ContentType="application/vnd.ms-office.chartstyle+xml"/>
  <Override PartName="/xl/charts/style2.xml" ContentType="application/vnd.ms-office.chartstyle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charts/colors4.xml" ContentType="application/vnd.ms-office.chartcolorstyle+xml"/>
  <Override PartName="/xl/sharedStrings.xml" ContentType="application/vnd.openxmlformats-officedocument.spreadsheetml.sharedStrings+xml"/>
  <Override PartName="/xl/charts/colors3.xml" ContentType="application/vnd.ms-office.chartcolorstyle+xml"/>
  <Override PartName="/xl/charts/colors2.xml" ContentType="application/vnd.ms-office.chartcolorstyle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35" windowWidth="19155" windowHeight="11760"/>
  </bookViews>
  <sheets>
    <sheet name="lvtemporary_133125" sheetId="1" r:id="rId1"/>
    <sheet name="film thickness" sheetId="2" r:id="rId2"/>
  </sheets>
  <calcPr calcId="124519"/>
</workbook>
</file>

<file path=xl/calcChain.xml><?xml version="1.0" encoding="utf-8"?>
<calcChain xmlns="http://schemas.openxmlformats.org/spreadsheetml/2006/main">
  <c r="E40" i="1"/>
  <c r="F40"/>
  <c r="E41"/>
  <c r="F41"/>
  <c r="E42"/>
  <c r="F42"/>
  <c r="E43"/>
  <c r="F43"/>
  <c r="E44"/>
  <c r="F44"/>
  <c r="E45"/>
  <c r="F45"/>
  <c r="E46"/>
  <c r="F46"/>
  <c r="E47"/>
  <c r="F47"/>
  <c r="E48"/>
  <c r="F48"/>
  <c r="E49"/>
  <c r="F49"/>
  <c r="E50"/>
  <c r="F50"/>
  <c r="E51"/>
  <c r="F51"/>
  <c r="E52"/>
  <c r="F52"/>
  <c r="E53"/>
  <c r="F53"/>
  <c r="E54"/>
  <c r="F54"/>
  <c r="E55"/>
  <c r="F55"/>
  <c r="E56"/>
  <c r="F56"/>
  <c r="E57"/>
  <c r="F57"/>
  <c r="E58"/>
  <c r="F58"/>
  <c r="E59"/>
  <c r="F59"/>
  <c r="E60"/>
  <c r="F60"/>
  <c r="E61"/>
  <c r="F61"/>
  <c r="E62"/>
  <c r="F62"/>
  <c r="E63"/>
  <c r="F63"/>
  <c r="E64"/>
  <c r="F64"/>
  <c r="E65"/>
  <c r="F65"/>
  <c r="E66"/>
  <c r="F66"/>
  <c r="E67"/>
  <c r="F67"/>
  <c r="E68"/>
  <c r="F68"/>
  <c r="E69"/>
  <c r="F69"/>
  <c r="E70"/>
  <c r="F70"/>
  <c r="E71"/>
  <c r="F71"/>
  <c r="E72"/>
  <c r="F72"/>
  <c r="E73"/>
  <c r="F73"/>
  <c r="E74"/>
  <c r="F74"/>
  <c r="E75"/>
  <c r="F75"/>
  <c r="E76"/>
  <c r="F76"/>
  <c r="E77"/>
  <c r="F77"/>
  <c r="E78"/>
  <c r="F78"/>
  <c r="F39"/>
  <c r="E39"/>
  <c r="I337" i="2" l="1"/>
  <c r="J337" s="1"/>
  <c r="D337"/>
  <c r="E337" s="1"/>
  <c r="F337" s="1"/>
  <c r="C337"/>
  <c r="I336"/>
  <c r="J336" s="1"/>
  <c r="D336"/>
  <c r="E336" s="1"/>
  <c r="F336" s="1"/>
  <c r="C336"/>
  <c r="G336" s="1"/>
  <c r="I335"/>
  <c r="J335" s="1"/>
  <c r="H335"/>
  <c r="E335"/>
  <c r="F335" s="1"/>
  <c r="D335"/>
  <c r="C335"/>
  <c r="G335" s="1"/>
  <c r="I334"/>
  <c r="J334" s="1"/>
  <c r="D334"/>
  <c r="E334" s="1"/>
  <c r="F334" s="1"/>
  <c r="C334"/>
  <c r="I333"/>
  <c r="J333" s="1"/>
  <c r="E333"/>
  <c r="F333" s="1"/>
  <c r="D333"/>
  <c r="C333"/>
  <c r="I332"/>
  <c r="J332" s="1"/>
  <c r="H332"/>
  <c r="D332"/>
  <c r="E332" s="1"/>
  <c r="F332" s="1"/>
  <c r="C332"/>
  <c r="G332" s="1"/>
  <c r="I331"/>
  <c r="J331" s="1"/>
  <c r="H331"/>
  <c r="F331"/>
  <c r="E331"/>
  <c r="D331"/>
  <c r="C331"/>
  <c r="G331" s="1"/>
  <c r="I330"/>
  <c r="J330" s="1"/>
  <c r="H330"/>
  <c r="E330"/>
  <c r="F330" s="1"/>
  <c r="D330"/>
  <c r="C330"/>
  <c r="G330" s="1"/>
  <c r="I329"/>
  <c r="J329" s="1"/>
  <c r="D329"/>
  <c r="E329" s="1"/>
  <c r="F329" s="1"/>
  <c r="C329"/>
  <c r="I328"/>
  <c r="J328" s="1"/>
  <c r="C328"/>
  <c r="I327"/>
  <c r="J327" s="1"/>
  <c r="H327"/>
  <c r="F327"/>
  <c r="E327"/>
  <c r="D327"/>
  <c r="C327"/>
  <c r="G327" s="1"/>
  <c r="I326"/>
  <c r="J326" s="1"/>
  <c r="H326"/>
  <c r="D326"/>
  <c r="E326" s="1"/>
  <c r="F326" s="1"/>
  <c r="C326"/>
  <c r="G326" s="1"/>
  <c r="I325"/>
  <c r="J325" s="1"/>
  <c r="D325"/>
  <c r="E325" s="1"/>
  <c r="F325" s="1"/>
  <c r="C325"/>
  <c r="J324"/>
  <c r="K307" s="1"/>
  <c r="I324"/>
  <c r="G324"/>
  <c r="E324"/>
  <c r="F324" s="1"/>
  <c r="D324"/>
  <c r="C324"/>
  <c r="H324" s="1"/>
  <c r="AO320"/>
  <c r="I320"/>
  <c r="J320" s="1"/>
  <c r="C320"/>
  <c r="AD320" s="1"/>
  <c r="AO319"/>
  <c r="I319"/>
  <c r="J319" s="1"/>
  <c r="C319"/>
  <c r="AD319" s="1"/>
  <c r="AO318"/>
  <c r="I318"/>
  <c r="J318" s="1"/>
  <c r="C318"/>
  <c r="H318" s="1"/>
  <c r="AO317"/>
  <c r="I317"/>
  <c r="J317" s="1"/>
  <c r="C317"/>
  <c r="D317" s="1"/>
  <c r="E317" s="1"/>
  <c r="F317" s="1"/>
  <c r="S317" s="1"/>
  <c r="AO316"/>
  <c r="I316"/>
  <c r="J316" s="1"/>
  <c r="K316" s="1"/>
  <c r="L316" s="1"/>
  <c r="C316"/>
  <c r="G316" s="1"/>
  <c r="AO315"/>
  <c r="I315"/>
  <c r="J315" s="1"/>
  <c r="C315"/>
  <c r="AD315" s="1"/>
  <c r="AO314"/>
  <c r="I314"/>
  <c r="J314" s="1"/>
  <c r="K314" s="1"/>
  <c r="C314"/>
  <c r="D314" s="1"/>
  <c r="E314" s="1"/>
  <c r="F314" s="1"/>
  <c r="S314" s="1"/>
  <c r="AO313"/>
  <c r="I313"/>
  <c r="J313" s="1"/>
  <c r="C313"/>
  <c r="AO312"/>
  <c r="I312"/>
  <c r="J312" s="1"/>
  <c r="C312"/>
  <c r="AD312" s="1"/>
  <c r="AO311"/>
  <c r="I311"/>
  <c r="J311" s="1"/>
  <c r="K311" s="1"/>
  <c r="L311" s="1"/>
  <c r="C311"/>
  <c r="AD311" s="1"/>
  <c r="AO310"/>
  <c r="I310"/>
  <c r="J310" s="1"/>
  <c r="C310"/>
  <c r="D310" s="1"/>
  <c r="E310" s="1"/>
  <c r="F310" s="1"/>
  <c r="S310" s="1"/>
  <c r="AO309"/>
  <c r="I309"/>
  <c r="J309" s="1"/>
  <c r="C309"/>
  <c r="AD309" s="1"/>
  <c r="AO308"/>
  <c r="I308"/>
  <c r="J308" s="1"/>
  <c r="K308" s="1"/>
  <c r="C308"/>
  <c r="AO307"/>
  <c r="I307"/>
  <c r="J307" s="1"/>
  <c r="C307"/>
  <c r="AD307" s="1"/>
  <c r="I302"/>
  <c r="J302" s="1"/>
  <c r="AY285" s="1"/>
  <c r="BA285" s="1"/>
  <c r="H302"/>
  <c r="C302"/>
  <c r="J301"/>
  <c r="I301"/>
  <c r="C301"/>
  <c r="I300"/>
  <c r="J300" s="1"/>
  <c r="H300"/>
  <c r="C300"/>
  <c r="J299"/>
  <c r="I299"/>
  <c r="H299"/>
  <c r="C299"/>
  <c r="I298"/>
  <c r="J298" s="1"/>
  <c r="C298"/>
  <c r="J297"/>
  <c r="I297"/>
  <c r="C297"/>
  <c r="I296"/>
  <c r="J296" s="1"/>
  <c r="H296"/>
  <c r="C296"/>
  <c r="J295"/>
  <c r="I295"/>
  <c r="C295"/>
  <c r="I294"/>
  <c r="J294" s="1"/>
  <c r="H294"/>
  <c r="C294"/>
  <c r="J293"/>
  <c r="I293"/>
  <c r="C293"/>
  <c r="J292"/>
  <c r="I292"/>
  <c r="C292"/>
  <c r="I291"/>
  <c r="J291" s="1"/>
  <c r="C291"/>
  <c r="J290"/>
  <c r="I290"/>
  <c r="H290"/>
  <c r="G290"/>
  <c r="F290"/>
  <c r="E290"/>
  <c r="C290"/>
  <c r="D290" s="1"/>
  <c r="J289"/>
  <c r="I289"/>
  <c r="H289"/>
  <c r="G289"/>
  <c r="F289"/>
  <c r="D289"/>
  <c r="E289" s="1"/>
  <c r="C289"/>
  <c r="BR285"/>
  <c r="AA285"/>
  <c r="I285"/>
  <c r="J285" s="1"/>
  <c r="K285" s="1"/>
  <c r="C285"/>
  <c r="H285" s="1"/>
  <c r="BR284"/>
  <c r="I284"/>
  <c r="J284" s="1"/>
  <c r="AA284" s="1"/>
  <c r="C284"/>
  <c r="BR283"/>
  <c r="I283"/>
  <c r="J283" s="1"/>
  <c r="C283"/>
  <c r="H283" s="1"/>
  <c r="BR282"/>
  <c r="I282"/>
  <c r="J282" s="1"/>
  <c r="AY282" s="1"/>
  <c r="BA282" s="1"/>
  <c r="H282"/>
  <c r="G282"/>
  <c r="E282"/>
  <c r="D282"/>
  <c r="C282"/>
  <c r="BR281"/>
  <c r="I281"/>
  <c r="J281" s="1"/>
  <c r="AA281" s="1"/>
  <c r="C281"/>
  <c r="G281" s="1"/>
  <c r="BR280"/>
  <c r="I280"/>
  <c r="J280" s="1"/>
  <c r="C280"/>
  <c r="H280" s="1"/>
  <c r="BR279"/>
  <c r="I279"/>
  <c r="J279" s="1"/>
  <c r="AA279" s="1"/>
  <c r="C279"/>
  <c r="D279" s="1"/>
  <c r="E279" s="1"/>
  <c r="BI279" s="1"/>
  <c r="BR278"/>
  <c r="I278"/>
  <c r="J278" s="1"/>
  <c r="C278"/>
  <c r="H278" s="1"/>
  <c r="BR277"/>
  <c r="I277"/>
  <c r="J277" s="1"/>
  <c r="C277"/>
  <c r="G277" s="1"/>
  <c r="BR276"/>
  <c r="I276"/>
  <c r="J276" s="1"/>
  <c r="K276" s="1"/>
  <c r="C276"/>
  <c r="BR275"/>
  <c r="I275"/>
  <c r="J275" s="1"/>
  <c r="C275"/>
  <c r="H275" s="1"/>
  <c r="BR274"/>
  <c r="I274"/>
  <c r="J274" s="1"/>
  <c r="C274"/>
  <c r="D274" s="1"/>
  <c r="E274" s="1"/>
  <c r="BR273"/>
  <c r="I273"/>
  <c r="J273" s="1"/>
  <c r="C273"/>
  <c r="H273" s="1"/>
  <c r="BR272"/>
  <c r="J272"/>
  <c r="AY272" s="1"/>
  <c r="BA272" s="1"/>
  <c r="I272"/>
  <c r="C272"/>
  <c r="H272" s="1"/>
  <c r="I267"/>
  <c r="J267" s="1"/>
  <c r="H267"/>
  <c r="G267"/>
  <c r="E267"/>
  <c r="F267" s="1"/>
  <c r="D267"/>
  <c r="C267"/>
  <c r="J266"/>
  <c r="I266"/>
  <c r="H266"/>
  <c r="G266"/>
  <c r="E266"/>
  <c r="F266" s="1"/>
  <c r="D266"/>
  <c r="C266"/>
  <c r="J265"/>
  <c r="I265"/>
  <c r="H265"/>
  <c r="G265"/>
  <c r="E265"/>
  <c r="F265" s="1"/>
  <c r="D265"/>
  <c r="C265"/>
  <c r="I264"/>
  <c r="J264" s="1"/>
  <c r="H264"/>
  <c r="G264"/>
  <c r="E264"/>
  <c r="F264" s="1"/>
  <c r="D264"/>
  <c r="C264"/>
  <c r="J263"/>
  <c r="I263"/>
  <c r="H263"/>
  <c r="G263"/>
  <c r="E263"/>
  <c r="F263" s="1"/>
  <c r="D263"/>
  <c r="C263"/>
  <c r="I262"/>
  <c r="J262" s="1"/>
  <c r="H262"/>
  <c r="G262"/>
  <c r="E262"/>
  <c r="F262" s="1"/>
  <c r="D262"/>
  <c r="C262"/>
  <c r="J261"/>
  <c r="I261"/>
  <c r="H261"/>
  <c r="G261"/>
  <c r="E261"/>
  <c r="F261" s="1"/>
  <c r="D261"/>
  <c r="C261"/>
  <c r="J260"/>
  <c r="I260"/>
  <c r="H260"/>
  <c r="G260"/>
  <c r="E260"/>
  <c r="F260" s="1"/>
  <c r="D260"/>
  <c r="C260"/>
  <c r="I259"/>
  <c r="J259" s="1"/>
  <c r="H259"/>
  <c r="G259"/>
  <c r="E259"/>
  <c r="F259" s="1"/>
  <c r="D259"/>
  <c r="C259"/>
  <c r="J258"/>
  <c r="I258"/>
  <c r="H258"/>
  <c r="G258"/>
  <c r="E258"/>
  <c r="F258" s="1"/>
  <c r="D258"/>
  <c r="C258"/>
  <c r="J257"/>
  <c r="I257"/>
  <c r="H257"/>
  <c r="G257"/>
  <c r="E257"/>
  <c r="F257" s="1"/>
  <c r="D257"/>
  <c r="C257"/>
  <c r="J256"/>
  <c r="I256"/>
  <c r="H256"/>
  <c r="G256"/>
  <c r="E256"/>
  <c r="F256" s="1"/>
  <c r="D256"/>
  <c r="C256"/>
  <c r="I255"/>
  <c r="J255" s="1"/>
  <c r="H255"/>
  <c r="G255"/>
  <c r="E255"/>
  <c r="F255" s="1"/>
  <c r="D255"/>
  <c r="C255"/>
  <c r="J254"/>
  <c r="I254"/>
  <c r="H254"/>
  <c r="C254"/>
  <c r="I250"/>
  <c r="J250" s="1"/>
  <c r="C250"/>
  <c r="H250" s="1"/>
  <c r="I249"/>
  <c r="J249" s="1"/>
  <c r="C249"/>
  <c r="I248"/>
  <c r="J248" s="1"/>
  <c r="C248"/>
  <c r="H248" s="1"/>
  <c r="I247"/>
  <c r="J247" s="1"/>
  <c r="K247" s="1"/>
  <c r="H247"/>
  <c r="C247"/>
  <c r="G247" s="1"/>
  <c r="I246"/>
  <c r="J246" s="1"/>
  <c r="C246"/>
  <c r="I245"/>
  <c r="J245" s="1"/>
  <c r="C245"/>
  <c r="H245" s="1"/>
  <c r="I244"/>
  <c r="J244" s="1"/>
  <c r="C244"/>
  <c r="D244" s="1"/>
  <c r="E244" s="1"/>
  <c r="I243"/>
  <c r="J243" s="1"/>
  <c r="AA243" s="1"/>
  <c r="C243"/>
  <c r="G243" s="1"/>
  <c r="I242"/>
  <c r="J242" s="1"/>
  <c r="C242"/>
  <c r="D242" s="1"/>
  <c r="E242" s="1"/>
  <c r="I241"/>
  <c r="J241" s="1"/>
  <c r="AA241" s="1"/>
  <c r="C241"/>
  <c r="H241" s="1"/>
  <c r="I240"/>
  <c r="J240" s="1"/>
  <c r="K240" s="1"/>
  <c r="C240"/>
  <c r="G240" s="1"/>
  <c r="I239"/>
  <c r="J239" s="1"/>
  <c r="C239"/>
  <c r="H239" s="1"/>
  <c r="I238"/>
  <c r="J238" s="1"/>
  <c r="AA238" s="1"/>
  <c r="C238"/>
  <c r="D238" s="1"/>
  <c r="E238" s="1"/>
  <c r="F238" s="1"/>
  <c r="I237"/>
  <c r="J237" s="1"/>
  <c r="AA237" s="1"/>
  <c r="C237"/>
  <c r="G237" s="1"/>
  <c r="I232"/>
  <c r="J232" s="1"/>
  <c r="H232"/>
  <c r="G232"/>
  <c r="D232"/>
  <c r="E232" s="1"/>
  <c r="F232" s="1"/>
  <c r="C232"/>
  <c r="I231"/>
  <c r="J231" s="1"/>
  <c r="H231"/>
  <c r="G231"/>
  <c r="D231"/>
  <c r="E231" s="1"/>
  <c r="F231" s="1"/>
  <c r="C231"/>
  <c r="I230"/>
  <c r="J230" s="1"/>
  <c r="C230"/>
  <c r="I229"/>
  <c r="J229" s="1"/>
  <c r="C229"/>
  <c r="I228"/>
  <c r="J228" s="1"/>
  <c r="H228"/>
  <c r="G228"/>
  <c r="D228"/>
  <c r="E228" s="1"/>
  <c r="F228" s="1"/>
  <c r="C228"/>
  <c r="I227"/>
  <c r="J227" s="1"/>
  <c r="H227"/>
  <c r="G227"/>
  <c r="D227"/>
  <c r="E227" s="1"/>
  <c r="F227" s="1"/>
  <c r="C227"/>
  <c r="I226"/>
  <c r="J226" s="1"/>
  <c r="C226"/>
  <c r="I225"/>
  <c r="J225" s="1"/>
  <c r="C225"/>
  <c r="I224"/>
  <c r="J224" s="1"/>
  <c r="H224"/>
  <c r="G224"/>
  <c r="D224"/>
  <c r="E224" s="1"/>
  <c r="F224" s="1"/>
  <c r="C224"/>
  <c r="I223"/>
  <c r="J223" s="1"/>
  <c r="H223"/>
  <c r="G223"/>
  <c r="F223"/>
  <c r="D223"/>
  <c r="E223" s="1"/>
  <c r="C223"/>
  <c r="I222"/>
  <c r="J222" s="1"/>
  <c r="D222"/>
  <c r="E222" s="1"/>
  <c r="F222" s="1"/>
  <c r="C222"/>
  <c r="I221"/>
  <c r="J221" s="1"/>
  <c r="G221"/>
  <c r="C221"/>
  <c r="I220"/>
  <c r="J220" s="1"/>
  <c r="H220"/>
  <c r="G220"/>
  <c r="D220"/>
  <c r="E220" s="1"/>
  <c r="F220" s="1"/>
  <c r="C220"/>
  <c r="I219"/>
  <c r="J219" s="1"/>
  <c r="H219"/>
  <c r="G219"/>
  <c r="E219"/>
  <c r="F219" s="1"/>
  <c r="D219"/>
  <c r="C219"/>
  <c r="I215"/>
  <c r="J215" s="1"/>
  <c r="C215"/>
  <c r="H215" s="1"/>
  <c r="AN215" s="1"/>
  <c r="I214"/>
  <c r="J214" s="1"/>
  <c r="K214" s="1"/>
  <c r="C214"/>
  <c r="G214" s="1"/>
  <c r="I213"/>
  <c r="J213" s="1"/>
  <c r="C213"/>
  <c r="G213" s="1"/>
  <c r="I212"/>
  <c r="J212" s="1"/>
  <c r="K212" s="1"/>
  <c r="C212"/>
  <c r="I211"/>
  <c r="J211" s="1"/>
  <c r="C211"/>
  <c r="I210"/>
  <c r="J210" s="1"/>
  <c r="C210"/>
  <c r="H210" s="1"/>
  <c r="AN210" s="1"/>
  <c r="I209"/>
  <c r="J209" s="1"/>
  <c r="C209"/>
  <c r="H209" s="1"/>
  <c r="AN209" s="1"/>
  <c r="I208"/>
  <c r="J208" s="1"/>
  <c r="C208"/>
  <c r="D208" s="1"/>
  <c r="E208" s="1"/>
  <c r="F208" s="1"/>
  <c r="I207"/>
  <c r="J207" s="1"/>
  <c r="C207"/>
  <c r="G207" s="1"/>
  <c r="I206"/>
  <c r="J206" s="1"/>
  <c r="AA206" s="1"/>
  <c r="C206"/>
  <c r="D206" s="1"/>
  <c r="E206" s="1"/>
  <c r="I205"/>
  <c r="J205" s="1"/>
  <c r="C205"/>
  <c r="H205" s="1"/>
  <c r="AN205" s="1"/>
  <c r="I204"/>
  <c r="J204" s="1"/>
  <c r="BJ204" s="1"/>
  <c r="BK204" s="1"/>
  <c r="C204"/>
  <c r="I203"/>
  <c r="J203" s="1"/>
  <c r="BJ203" s="1"/>
  <c r="C203"/>
  <c r="G203" s="1"/>
  <c r="I202"/>
  <c r="J202" s="1"/>
  <c r="C202"/>
  <c r="H202" s="1"/>
  <c r="AN202" s="1"/>
  <c r="L196"/>
  <c r="K196"/>
  <c r="D196"/>
  <c r="E196" s="1"/>
  <c r="F196" s="1"/>
  <c r="C196"/>
  <c r="L195"/>
  <c r="K195"/>
  <c r="D195"/>
  <c r="E195" s="1"/>
  <c r="F195" s="1"/>
  <c r="C195"/>
  <c r="L194"/>
  <c r="K194"/>
  <c r="D194"/>
  <c r="E194" s="1"/>
  <c r="F194" s="1"/>
  <c r="C194"/>
  <c r="L193"/>
  <c r="K193"/>
  <c r="D193"/>
  <c r="E193" s="1"/>
  <c r="F193" s="1"/>
  <c r="C193"/>
  <c r="L192"/>
  <c r="K192"/>
  <c r="D192"/>
  <c r="E192" s="1"/>
  <c r="F192" s="1"/>
  <c r="I192" s="1"/>
  <c r="C192"/>
  <c r="L191"/>
  <c r="K191"/>
  <c r="D191"/>
  <c r="E191" s="1"/>
  <c r="F191" s="1"/>
  <c r="I191" s="1"/>
  <c r="C191"/>
  <c r="L190"/>
  <c r="K190"/>
  <c r="D190"/>
  <c r="E190" s="1"/>
  <c r="F190" s="1"/>
  <c r="I190" s="1"/>
  <c r="C190"/>
  <c r="L189"/>
  <c r="K189"/>
  <c r="D189"/>
  <c r="E189" s="1"/>
  <c r="F189" s="1"/>
  <c r="I189" s="1"/>
  <c r="C189"/>
  <c r="L188"/>
  <c r="K188"/>
  <c r="D188"/>
  <c r="E188" s="1"/>
  <c r="F188" s="1"/>
  <c r="C188"/>
  <c r="L187"/>
  <c r="K187"/>
  <c r="D187"/>
  <c r="E187" s="1"/>
  <c r="F187" s="1"/>
  <c r="C187"/>
  <c r="L186"/>
  <c r="K186"/>
  <c r="D186"/>
  <c r="E186" s="1"/>
  <c r="F186" s="1"/>
  <c r="I186" s="1"/>
  <c r="C186"/>
  <c r="L185"/>
  <c r="K185"/>
  <c r="D185"/>
  <c r="E185" s="1"/>
  <c r="F185" s="1"/>
  <c r="I185" s="1"/>
  <c r="C185"/>
  <c r="L184"/>
  <c r="K184"/>
  <c r="D184"/>
  <c r="E184" s="1"/>
  <c r="F184" s="1"/>
  <c r="I184" s="1"/>
  <c r="C184"/>
  <c r="L183"/>
  <c r="K183"/>
  <c r="D183"/>
  <c r="E183" s="1"/>
  <c r="F183" s="1"/>
  <c r="I183" s="1"/>
  <c r="C183"/>
  <c r="G183" s="1"/>
  <c r="H183" s="1"/>
  <c r="J183" s="1"/>
  <c r="L179"/>
  <c r="K179"/>
  <c r="E179"/>
  <c r="F179" s="1"/>
  <c r="D179"/>
  <c r="C179"/>
  <c r="L178"/>
  <c r="K178"/>
  <c r="E178"/>
  <c r="F178" s="1"/>
  <c r="D178"/>
  <c r="C178"/>
  <c r="L177"/>
  <c r="K177"/>
  <c r="F177"/>
  <c r="D177"/>
  <c r="E177" s="1"/>
  <c r="C177"/>
  <c r="L176"/>
  <c r="K176"/>
  <c r="E176"/>
  <c r="F176" s="1"/>
  <c r="I176" s="1"/>
  <c r="D176"/>
  <c r="C176"/>
  <c r="L175"/>
  <c r="K175"/>
  <c r="F175"/>
  <c r="E175"/>
  <c r="D175"/>
  <c r="C175"/>
  <c r="L174"/>
  <c r="K174"/>
  <c r="I174"/>
  <c r="E174"/>
  <c r="F174" s="1"/>
  <c r="G174" s="1"/>
  <c r="H174" s="1"/>
  <c r="J174" s="1"/>
  <c r="D174"/>
  <c r="C174"/>
  <c r="L173"/>
  <c r="K173"/>
  <c r="I173"/>
  <c r="F173"/>
  <c r="G173" s="1"/>
  <c r="H173" s="1"/>
  <c r="J173" s="1"/>
  <c r="D173"/>
  <c r="E173" s="1"/>
  <c r="C173"/>
  <c r="L172"/>
  <c r="K172"/>
  <c r="E172"/>
  <c r="F172" s="1"/>
  <c r="I172" s="1"/>
  <c r="D172"/>
  <c r="C172"/>
  <c r="L171"/>
  <c r="K171"/>
  <c r="H171"/>
  <c r="J171" s="1"/>
  <c r="F171"/>
  <c r="I171" s="1"/>
  <c r="E171"/>
  <c r="D171"/>
  <c r="C171"/>
  <c r="G171" s="1"/>
  <c r="L170"/>
  <c r="K170"/>
  <c r="D170"/>
  <c r="E170" s="1"/>
  <c r="F170" s="1"/>
  <c r="C170"/>
  <c r="L169"/>
  <c r="K169"/>
  <c r="D169"/>
  <c r="E169" s="1"/>
  <c r="F169" s="1"/>
  <c r="I169" s="1"/>
  <c r="C169"/>
  <c r="L168"/>
  <c r="K168"/>
  <c r="D168"/>
  <c r="E168" s="1"/>
  <c r="F168" s="1"/>
  <c r="I168" s="1"/>
  <c r="C168"/>
  <c r="L167"/>
  <c r="K167"/>
  <c r="E167"/>
  <c r="F167" s="1"/>
  <c r="I167" s="1"/>
  <c r="D167"/>
  <c r="C167"/>
  <c r="L166"/>
  <c r="K166"/>
  <c r="D166"/>
  <c r="E166" s="1"/>
  <c r="F166" s="1"/>
  <c r="C166"/>
  <c r="H312" l="1"/>
  <c r="D320"/>
  <c r="E320" s="1"/>
  <c r="F320" s="1"/>
  <c r="S320" s="1"/>
  <c r="AD316"/>
  <c r="K313"/>
  <c r="G309"/>
  <c r="G311"/>
  <c r="G319"/>
  <c r="H320"/>
  <c r="O320" s="1"/>
  <c r="P320" s="1"/>
  <c r="H309"/>
  <c r="H319"/>
  <c r="G312"/>
  <c r="G320"/>
  <c r="D319"/>
  <c r="E319" s="1"/>
  <c r="F319" s="1"/>
  <c r="S319" s="1"/>
  <c r="K320"/>
  <c r="M308"/>
  <c r="N308" s="1"/>
  <c r="T308" s="1"/>
  <c r="L308"/>
  <c r="AD314"/>
  <c r="G318"/>
  <c r="K309"/>
  <c r="L309" s="1"/>
  <c r="G314"/>
  <c r="D311"/>
  <c r="E311" s="1"/>
  <c r="F311" s="1"/>
  <c r="S311" s="1"/>
  <c r="D312"/>
  <c r="E312" s="1"/>
  <c r="F312" s="1"/>
  <c r="S312" s="1"/>
  <c r="AD317"/>
  <c r="K315"/>
  <c r="L315" s="1"/>
  <c r="D318"/>
  <c r="E318" s="1"/>
  <c r="F318" s="1"/>
  <c r="S318" s="1"/>
  <c r="D316"/>
  <c r="E316" s="1"/>
  <c r="F316" s="1"/>
  <c r="S316" s="1"/>
  <c r="M311"/>
  <c r="N311" s="1"/>
  <c r="T311" s="1"/>
  <c r="H316"/>
  <c r="H307"/>
  <c r="O307" s="1"/>
  <c r="P307" s="1"/>
  <c r="H314"/>
  <c r="O314" s="1"/>
  <c r="P314" s="1"/>
  <c r="V314" s="1"/>
  <c r="W314" s="1"/>
  <c r="AD318"/>
  <c r="K317"/>
  <c r="M317" s="1"/>
  <c r="N317" s="1"/>
  <c r="T317" s="1"/>
  <c r="D309"/>
  <c r="E309" s="1"/>
  <c r="F309" s="1"/>
  <c r="S309" s="1"/>
  <c r="AY274"/>
  <c r="BA274" s="1"/>
  <c r="AA274"/>
  <c r="H279"/>
  <c r="D281"/>
  <c r="E281" s="1"/>
  <c r="H281"/>
  <c r="D278"/>
  <c r="E278" s="1"/>
  <c r="BI278" s="1"/>
  <c r="AY276"/>
  <c r="BA276" s="1"/>
  <c r="G280"/>
  <c r="D283"/>
  <c r="E283" s="1"/>
  <c r="F279"/>
  <c r="G278"/>
  <c r="G283"/>
  <c r="BI274"/>
  <c r="F274"/>
  <c r="M276"/>
  <c r="N276" s="1"/>
  <c r="X276" s="1"/>
  <c r="Z276" s="1"/>
  <c r="L276"/>
  <c r="AA283"/>
  <c r="K283"/>
  <c r="L283" s="1"/>
  <c r="K274"/>
  <c r="M274" s="1"/>
  <c r="N274" s="1"/>
  <c r="D280"/>
  <c r="E280" s="1"/>
  <c r="D272"/>
  <c r="E272" s="1"/>
  <c r="F272" s="1"/>
  <c r="D273"/>
  <c r="E273" s="1"/>
  <c r="G272"/>
  <c r="G274"/>
  <c r="D275"/>
  <c r="E275" s="1"/>
  <c r="BI275" s="1"/>
  <c r="H277"/>
  <c r="K278"/>
  <c r="L278" s="1"/>
  <c r="D277"/>
  <c r="E277" s="1"/>
  <c r="F277" s="1"/>
  <c r="G273"/>
  <c r="H274"/>
  <c r="G275"/>
  <c r="F278"/>
  <c r="G242"/>
  <c r="BM237"/>
  <c r="D240"/>
  <c r="E240" s="1"/>
  <c r="AW240" s="1"/>
  <c r="AY240" s="1"/>
  <c r="H242"/>
  <c r="H240"/>
  <c r="AW238"/>
  <c r="AY238" s="1"/>
  <c r="D243"/>
  <c r="E243" s="1"/>
  <c r="F243" s="1"/>
  <c r="H243"/>
  <c r="BM244"/>
  <c r="AA244"/>
  <c r="K244"/>
  <c r="L244" s="1"/>
  <c r="AA248"/>
  <c r="K248"/>
  <c r="M248" s="1"/>
  <c r="N248" s="1"/>
  <c r="X248" s="1"/>
  <c r="Z248" s="1"/>
  <c r="AA249"/>
  <c r="BM249"/>
  <c r="BN249" s="1"/>
  <c r="K249"/>
  <c r="M249" s="1"/>
  <c r="N249" s="1"/>
  <c r="X249" s="1"/>
  <c r="Z249" s="1"/>
  <c r="D239"/>
  <c r="E239" s="1"/>
  <c r="D250"/>
  <c r="E250" s="1"/>
  <c r="F250" s="1"/>
  <c r="G238"/>
  <c r="G239"/>
  <c r="H238"/>
  <c r="D245"/>
  <c r="E245" s="1"/>
  <c r="AW245" s="1"/>
  <c r="AY245" s="1"/>
  <c r="D247"/>
  <c r="E247" s="1"/>
  <c r="F247" s="1"/>
  <c r="D248"/>
  <c r="E248" s="1"/>
  <c r="G250"/>
  <c r="BM243"/>
  <c r="BN243" s="1"/>
  <c r="G244"/>
  <c r="K237"/>
  <c r="H244"/>
  <c r="G245"/>
  <c r="G248"/>
  <c r="D215"/>
  <c r="E215" s="1"/>
  <c r="K204"/>
  <c r="H208"/>
  <c r="AN208" s="1"/>
  <c r="D207"/>
  <c r="E207" s="1"/>
  <c r="AU207" s="1"/>
  <c r="AW207" s="1"/>
  <c r="G202"/>
  <c r="G205"/>
  <c r="H207"/>
  <c r="AN207" s="1"/>
  <c r="D202"/>
  <c r="E202" s="1"/>
  <c r="AU202" s="1"/>
  <c r="AW202" s="1"/>
  <c r="BJ211"/>
  <c r="AA211"/>
  <c r="K211"/>
  <c r="BJ215"/>
  <c r="BK215" s="1"/>
  <c r="H206"/>
  <c r="AN206" s="1"/>
  <c r="F207"/>
  <c r="G208"/>
  <c r="G215"/>
  <c r="K206"/>
  <c r="L206" s="1"/>
  <c r="H214"/>
  <c r="AN214" s="1"/>
  <c r="D203"/>
  <c r="E203" s="1"/>
  <c r="AU203" s="1"/>
  <c r="AW203" s="1"/>
  <c r="BJ206"/>
  <c r="BK206" s="1"/>
  <c r="AA212"/>
  <c r="G210"/>
  <c r="D214"/>
  <c r="E214" s="1"/>
  <c r="AA204"/>
  <c r="H203"/>
  <c r="AN203" s="1"/>
  <c r="D205"/>
  <c r="E205" s="1"/>
  <c r="G206"/>
  <c r="G189"/>
  <c r="M189" s="1"/>
  <c r="AK278" s="1"/>
  <c r="AN278" s="1"/>
  <c r="G185"/>
  <c r="H185" s="1"/>
  <c r="J185" s="1"/>
  <c r="H204"/>
  <c r="AN204" s="1"/>
  <c r="G204"/>
  <c r="D204"/>
  <c r="E204" s="1"/>
  <c r="G211"/>
  <c r="H211"/>
  <c r="AN211" s="1"/>
  <c r="D211"/>
  <c r="E211" s="1"/>
  <c r="M240"/>
  <c r="N240" s="1"/>
  <c r="L240"/>
  <c r="G187"/>
  <c r="I187"/>
  <c r="M214"/>
  <c r="N214" s="1"/>
  <c r="X214" s="1"/>
  <c r="Z214" s="1"/>
  <c r="AI214" s="1"/>
  <c r="L214"/>
  <c r="D229"/>
  <c r="E229" s="1"/>
  <c r="F229" s="1"/>
  <c r="H229"/>
  <c r="G229"/>
  <c r="I175"/>
  <c r="G175"/>
  <c r="H175" s="1"/>
  <c r="J175" s="1"/>
  <c r="I179"/>
  <c r="G179"/>
  <c r="H179" s="1"/>
  <c r="J179" s="1"/>
  <c r="I193"/>
  <c r="G193"/>
  <c r="I195"/>
  <c r="G195"/>
  <c r="AA209"/>
  <c r="K209"/>
  <c r="BJ209"/>
  <c r="AU215"/>
  <c r="AW215" s="1"/>
  <c r="F215"/>
  <c r="F242"/>
  <c r="AW242"/>
  <c r="AY242" s="1"/>
  <c r="I166"/>
  <c r="G166"/>
  <c r="H166" s="1"/>
  <c r="J166" s="1"/>
  <c r="G170"/>
  <c r="H170" s="1"/>
  <c r="J170" s="1"/>
  <c r="I170"/>
  <c r="I178"/>
  <c r="G178"/>
  <c r="H178" s="1"/>
  <c r="J178" s="1"/>
  <c r="F203"/>
  <c r="BJ213"/>
  <c r="AA213"/>
  <c r="I194"/>
  <c r="G194"/>
  <c r="I196"/>
  <c r="G196"/>
  <c r="L212"/>
  <c r="M212"/>
  <c r="N212" s="1"/>
  <c r="X212" s="1"/>
  <c r="Z212" s="1"/>
  <c r="AI212" s="1"/>
  <c r="K213"/>
  <c r="G167"/>
  <c r="H167" s="1"/>
  <c r="J167" s="1"/>
  <c r="AU206"/>
  <c r="AW206" s="1"/>
  <c r="F206"/>
  <c r="G169"/>
  <c r="H169" s="1"/>
  <c r="J169" s="1"/>
  <c r="I177"/>
  <c r="G177"/>
  <c r="H177" s="1"/>
  <c r="J177" s="1"/>
  <c r="G186"/>
  <c r="G190"/>
  <c r="BJ210"/>
  <c r="AA210"/>
  <c r="K210"/>
  <c r="M204"/>
  <c r="N204" s="1"/>
  <c r="X204" s="1"/>
  <c r="Z204" s="1"/>
  <c r="AI204" s="1"/>
  <c r="L204"/>
  <c r="K202"/>
  <c r="AA202"/>
  <c r="BJ202"/>
  <c r="M183"/>
  <c r="AK272" s="1"/>
  <c r="AN272" s="1"/>
  <c r="I188"/>
  <c r="G188"/>
  <c r="AA242"/>
  <c r="K242"/>
  <c r="BM242"/>
  <c r="L313"/>
  <c r="M313"/>
  <c r="N313" s="1"/>
  <c r="T313" s="1"/>
  <c r="G184"/>
  <c r="AA205"/>
  <c r="K205"/>
  <c r="AA207"/>
  <c r="K207"/>
  <c r="D249"/>
  <c r="E249" s="1"/>
  <c r="G249"/>
  <c r="G292"/>
  <c r="D292"/>
  <c r="E292" s="1"/>
  <c r="F292" s="1"/>
  <c r="H292"/>
  <c r="F239"/>
  <c r="AW239"/>
  <c r="AY239" s="1"/>
  <c r="G176"/>
  <c r="H176" s="1"/>
  <c r="J176" s="1"/>
  <c r="AA208"/>
  <c r="K208"/>
  <c r="BJ208"/>
  <c r="D225"/>
  <c r="E225" s="1"/>
  <c r="F225" s="1"/>
  <c r="H225"/>
  <c r="BM245"/>
  <c r="AA245"/>
  <c r="K245"/>
  <c r="K246"/>
  <c r="BM246"/>
  <c r="AA246"/>
  <c r="D284"/>
  <c r="E284" s="1"/>
  <c r="H284"/>
  <c r="G284"/>
  <c r="M206"/>
  <c r="N206" s="1"/>
  <c r="D210"/>
  <c r="E210" s="1"/>
  <c r="BJ212"/>
  <c r="H222"/>
  <c r="G222"/>
  <c r="G225"/>
  <c r="K243"/>
  <c r="BN244"/>
  <c r="AW247"/>
  <c r="AY247" s="1"/>
  <c r="H276"/>
  <c r="D276"/>
  <c r="E276" s="1"/>
  <c r="G276"/>
  <c r="F282"/>
  <c r="BI282"/>
  <c r="D291"/>
  <c r="E291" s="1"/>
  <c r="F291" s="1"/>
  <c r="H291"/>
  <c r="G291"/>
  <c r="H226"/>
  <c r="G226"/>
  <c r="AA250"/>
  <c r="K250"/>
  <c r="BM250"/>
  <c r="AA275"/>
  <c r="K275"/>
  <c r="AY275"/>
  <c r="BA275" s="1"/>
  <c r="BK203"/>
  <c r="H249"/>
  <c r="K203"/>
  <c r="AU208"/>
  <c r="AW208" s="1"/>
  <c r="H212"/>
  <c r="AN212" s="1"/>
  <c r="G212"/>
  <c r="H230"/>
  <c r="G230"/>
  <c r="BN237"/>
  <c r="G241"/>
  <c r="AW243"/>
  <c r="AY243" s="1"/>
  <c r="K238"/>
  <c r="BM238"/>
  <c r="G172"/>
  <c r="H172" s="1"/>
  <c r="J172" s="1"/>
  <c r="BJ207"/>
  <c r="D209"/>
  <c r="E209" s="1"/>
  <c r="G209"/>
  <c r="D212"/>
  <c r="E212" s="1"/>
  <c r="D213"/>
  <c r="E213" s="1"/>
  <c r="H213"/>
  <c r="AN213" s="1"/>
  <c r="D221"/>
  <c r="E221" s="1"/>
  <c r="F221" s="1"/>
  <c r="H221"/>
  <c r="D230"/>
  <c r="E230" s="1"/>
  <c r="F230" s="1"/>
  <c r="AY277"/>
  <c r="BA277" s="1"/>
  <c r="AA280"/>
  <c r="K280"/>
  <c r="AY280"/>
  <c r="BA280" s="1"/>
  <c r="M283"/>
  <c r="N283" s="1"/>
  <c r="X283" s="1"/>
  <c r="Z283" s="1"/>
  <c r="K318"/>
  <c r="BM240"/>
  <c r="AA240"/>
  <c r="D241"/>
  <c r="E241" s="1"/>
  <c r="M244"/>
  <c r="N244" s="1"/>
  <c r="G168"/>
  <c r="H168" s="1"/>
  <c r="J168" s="1"/>
  <c r="G191"/>
  <c r="BJ214"/>
  <c r="AA214"/>
  <c r="D226"/>
  <c r="E226" s="1"/>
  <c r="F226" s="1"/>
  <c r="D237"/>
  <c r="E237" s="1"/>
  <c r="H237"/>
  <c r="G192"/>
  <c r="AA203"/>
  <c r="BJ205"/>
  <c r="BK211"/>
  <c r="BM239"/>
  <c r="AA239"/>
  <c r="K239"/>
  <c r="BM241"/>
  <c r="K241"/>
  <c r="G246"/>
  <c r="H246"/>
  <c r="D246"/>
  <c r="E246" s="1"/>
  <c r="M247"/>
  <c r="N247" s="1"/>
  <c r="L247"/>
  <c r="F275"/>
  <c r="L285"/>
  <c r="M285"/>
  <c r="N285" s="1"/>
  <c r="AA272"/>
  <c r="K272"/>
  <c r="G301"/>
  <c r="D301"/>
  <c r="E301" s="1"/>
  <c r="F301" s="1"/>
  <c r="H301"/>
  <c r="D254"/>
  <c r="E254" s="1"/>
  <c r="F254" s="1"/>
  <c r="G254"/>
  <c r="AA273"/>
  <c r="K273"/>
  <c r="AY273"/>
  <c r="BA273" s="1"/>
  <c r="BI281"/>
  <c r="F281"/>
  <c r="AA215"/>
  <c r="K215"/>
  <c r="AW244"/>
  <c r="AY244" s="1"/>
  <c r="F244"/>
  <c r="BM247"/>
  <c r="AA247"/>
  <c r="AA277"/>
  <c r="K277"/>
  <c r="G298"/>
  <c r="D298"/>
  <c r="E298" s="1"/>
  <c r="F298" s="1"/>
  <c r="H298"/>
  <c r="G279"/>
  <c r="AY283"/>
  <c r="BA283" s="1"/>
  <c r="G295"/>
  <c r="D295"/>
  <c r="E295" s="1"/>
  <c r="F295" s="1"/>
  <c r="H295"/>
  <c r="K310"/>
  <c r="L307"/>
  <c r="M307"/>
  <c r="N307" s="1"/>
  <c r="T307" s="1"/>
  <c r="AA276"/>
  <c r="G299"/>
  <c r="D299"/>
  <c r="E299" s="1"/>
  <c r="F299" s="1"/>
  <c r="BM248"/>
  <c r="AY278"/>
  <c r="BA278" s="1"/>
  <c r="AA278"/>
  <c r="K282"/>
  <c r="AA282"/>
  <c r="AY284"/>
  <c r="BA284" s="1"/>
  <c r="K284"/>
  <c r="K279"/>
  <c r="AY279"/>
  <c r="BA279" s="1"/>
  <c r="H313"/>
  <c r="G313"/>
  <c r="AD313"/>
  <c r="D313"/>
  <c r="E313" s="1"/>
  <c r="F313" s="1"/>
  <c r="S313" s="1"/>
  <c r="D285"/>
  <c r="E285" s="1"/>
  <c r="G285"/>
  <c r="L314"/>
  <c r="M314"/>
  <c r="N314" s="1"/>
  <c r="T314" s="1"/>
  <c r="AY281"/>
  <c r="BA281" s="1"/>
  <c r="K281"/>
  <c r="K312"/>
  <c r="BI283"/>
  <c r="F283"/>
  <c r="G308"/>
  <c r="H308"/>
  <c r="AD308"/>
  <c r="D308"/>
  <c r="E308" s="1"/>
  <c r="F308" s="1"/>
  <c r="S308" s="1"/>
  <c r="G328"/>
  <c r="H328"/>
  <c r="D328"/>
  <c r="E328" s="1"/>
  <c r="F328" s="1"/>
  <c r="G337"/>
  <c r="H337"/>
  <c r="G315"/>
  <c r="D315"/>
  <c r="E315" s="1"/>
  <c r="F315" s="1"/>
  <c r="S315" s="1"/>
  <c r="H315"/>
  <c r="G325"/>
  <c r="H325"/>
  <c r="K319"/>
  <c r="O319"/>
  <c r="P319" s="1"/>
  <c r="G334"/>
  <c r="H334"/>
  <c r="G293"/>
  <c r="D293"/>
  <c r="E293" s="1"/>
  <c r="F293" s="1"/>
  <c r="H293"/>
  <c r="G296"/>
  <c r="D296"/>
  <c r="E296" s="1"/>
  <c r="F296" s="1"/>
  <c r="H310"/>
  <c r="O310" s="1"/>
  <c r="P310" s="1"/>
  <c r="G310"/>
  <c r="AD310"/>
  <c r="H317"/>
  <c r="O317" s="1"/>
  <c r="P317" s="1"/>
  <c r="G317"/>
  <c r="G329"/>
  <c r="H329"/>
  <c r="H336"/>
  <c r="G294"/>
  <c r="D294"/>
  <c r="E294" s="1"/>
  <c r="F294" s="1"/>
  <c r="G297"/>
  <c r="D297"/>
  <c r="E297" s="1"/>
  <c r="F297" s="1"/>
  <c r="H297"/>
  <c r="G300"/>
  <c r="D300"/>
  <c r="E300" s="1"/>
  <c r="F300" s="1"/>
  <c r="O316"/>
  <c r="P316" s="1"/>
  <c r="G333"/>
  <c r="H333"/>
  <c r="G302"/>
  <c r="D302"/>
  <c r="E302" s="1"/>
  <c r="F302" s="1"/>
  <c r="M309"/>
  <c r="N309" s="1"/>
  <c r="T309" s="1"/>
  <c r="M316"/>
  <c r="N316" s="1"/>
  <c r="T316" s="1"/>
  <c r="G307"/>
  <c r="D307"/>
  <c r="E307" s="1"/>
  <c r="F307" s="1"/>
  <c r="S307" s="1"/>
  <c r="H311"/>
  <c r="O311" s="1"/>
  <c r="P311" s="1"/>
  <c r="V320" l="1"/>
  <c r="W320" s="1"/>
  <c r="U320"/>
  <c r="Q320"/>
  <c r="R320" s="1"/>
  <c r="AK320"/>
  <c r="AL320" s="1"/>
  <c r="AM320" s="1"/>
  <c r="AV320" s="1"/>
  <c r="U314"/>
  <c r="L317"/>
  <c r="O309"/>
  <c r="P309" s="1"/>
  <c r="O318"/>
  <c r="P318" s="1"/>
  <c r="V318" s="1"/>
  <c r="W318" s="1"/>
  <c r="O312"/>
  <c r="P312" s="1"/>
  <c r="Q312" s="1"/>
  <c r="R312" s="1"/>
  <c r="AA312" s="1"/>
  <c r="Q314"/>
  <c r="R314" s="1"/>
  <c r="AA314" s="1"/>
  <c r="M315"/>
  <c r="N315" s="1"/>
  <c r="T315" s="1"/>
  <c r="O308"/>
  <c r="P308" s="1"/>
  <c r="AK308" s="1"/>
  <c r="AL308" s="1"/>
  <c r="AM308" s="1"/>
  <c r="O313"/>
  <c r="P313" s="1"/>
  <c r="U313" s="1"/>
  <c r="AK314"/>
  <c r="AL314" s="1"/>
  <c r="AM314" s="1"/>
  <c r="M320"/>
  <c r="N320" s="1"/>
  <c r="T320" s="1"/>
  <c r="L320"/>
  <c r="BI272"/>
  <c r="R274"/>
  <c r="O274"/>
  <c r="P274" s="1"/>
  <c r="F280"/>
  <c r="BI280"/>
  <c r="L274"/>
  <c r="Q276"/>
  <c r="U276"/>
  <c r="BI277"/>
  <c r="M278"/>
  <c r="N278" s="1"/>
  <c r="BI273"/>
  <c r="F273"/>
  <c r="L249"/>
  <c r="R247"/>
  <c r="F240"/>
  <c r="O240" s="1"/>
  <c r="P240" s="1"/>
  <c r="AW250"/>
  <c r="AY250" s="1"/>
  <c r="X247"/>
  <c r="Z247" s="1"/>
  <c r="AQ247" s="1"/>
  <c r="F245"/>
  <c r="O245" s="1"/>
  <c r="P245" s="1"/>
  <c r="F248"/>
  <c r="R248" s="1"/>
  <c r="AW248"/>
  <c r="AY248" s="1"/>
  <c r="M237"/>
  <c r="N237" s="1"/>
  <c r="L237"/>
  <c r="L248"/>
  <c r="M185"/>
  <c r="AK274" s="1"/>
  <c r="AN274" s="1"/>
  <c r="F202"/>
  <c r="AU214"/>
  <c r="AW214" s="1"/>
  <c r="F214"/>
  <c r="R214" s="1"/>
  <c r="AU205"/>
  <c r="AW205" s="1"/>
  <c r="F205"/>
  <c r="L211"/>
  <c r="M211"/>
  <c r="N211" s="1"/>
  <c r="H189"/>
  <c r="J189" s="1"/>
  <c r="AQ248"/>
  <c r="AP248"/>
  <c r="AI248" s="1"/>
  <c r="AP249"/>
  <c r="AI249" s="1"/>
  <c r="AQ249"/>
  <c r="U317"/>
  <c r="AK317"/>
  <c r="AL317" s="1"/>
  <c r="AM317" s="1"/>
  <c r="Q317"/>
  <c r="R317" s="1"/>
  <c r="V317"/>
  <c r="W317" s="1"/>
  <c r="AF283"/>
  <c r="AP283"/>
  <c r="U310"/>
  <c r="Q310"/>
  <c r="R310" s="1"/>
  <c r="AK310"/>
  <c r="AL310" s="1"/>
  <c r="AM310" s="1"/>
  <c r="V310"/>
  <c r="W310" s="1"/>
  <c r="M273"/>
  <c r="N273" s="1"/>
  <c r="L273"/>
  <c r="AW246"/>
  <c r="AY246" s="1"/>
  <c r="F246"/>
  <c r="M203"/>
  <c r="N203" s="1"/>
  <c r="O203" s="1"/>
  <c r="P203" s="1"/>
  <c r="L203"/>
  <c r="R282"/>
  <c r="M245"/>
  <c r="N245" s="1"/>
  <c r="L245"/>
  <c r="L238"/>
  <c r="M238"/>
  <c r="N238" s="1"/>
  <c r="BN242"/>
  <c r="M282"/>
  <c r="N282" s="1"/>
  <c r="L282"/>
  <c r="AW249"/>
  <c r="AY249" s="1"/>
  <c r="F249"/>
  <c r="M242"/>
  <c r="N242" s="1"/>
  <c r="R242" s="1"/>
  <c r="L242"/>
  <c r="O315"/>
  <c r="P315" s="1"/>
  <c r="BN247"/>
  <c r="Q206"/>
  <c r="U206"/>
  <c r="X206"/>
  <c r="Z206" s="1"/>
  <c r="AI206" s="1"/>
  <c r="BK208"/>
  <c r="M210"/>
  <c r="N210" s="1"/>
  <c r="L210"/>
  <c r="H194"/>
  <c r="J194" s="1"/>
  <c r="M194"/>
  <c r="AK283" s="1"/>
  <c r="AN283" s="1"/>
  <c r="V316"/>
  <c r="W316" s="1"/>
  <c r="Q316"/>
  <c r="R316" s="1"/>
  <c r="AK316"/>
  <c r="AL316" s="1"/>
  <c r="AM316" s="1"/>
  <c r="U316"/>
  <c r="M319"/>
  <c r="N319" s="1"/>
  <c r="T319" s="1"/>
  <c r="L319"/>
  <c r="BI285"/>
  <c r="F285"/>
  <c r="O244"/>
  <c r="P244" s="1"/>
  <c r="R244"/>
  <c r="M241"/>
  <c r="N241" s="1"/>
  <c r="L241"/>
  <c r="F237"/>
  <c r="AW237"/>
  <c r="AY237" s="1"/>
  <c r="L208"/>
  <c r="M208"/>
  <c r="N208" s="1"/>
  <c r="M213"/>
  <c r="N213" s="1"/>
  <c r="L213"/>
  <c r="AU204"/>
  <c r="AW204" s="1"/>
  <c r="F204"/>
  <c r="V311"/>
  <c r="W311" s="1"/>
  <c r="U311"/>
  <c r="AK311"/>
  <c r="AL311" s="1"/>
  <c r="AM311" s="1"/>
  <c r="Q311"/>
  <c r="R311" s="1"/>
  <c r="R283"/>
  <c r="O283"/>
  <c r="P283" s="1"/>
  <c r="M281"/>
  <c r="N281" s="1"/>
  <c r="O281" s="1"/>
  <c r="P281" s="1"/>
  <c r="L281"/>
  <c r="M284"/>
  <c r="N284" s="1"/>
  <c r="L284"/>
  <c r="BN241"/>
  <c r="AW241"/>
  <c r="AY241" s="1"/>
  <c r="F241"/>
  <c r="BN246"/>
  <c r="Q212"/>
  <c r="U212"/>
  <c r="BK209"/>
  <c r="AK312"/>
  <c r="AL312" s="1"/>
  <c r="AM312" s="1"/>
  <c r="V312"/>
  <c r="W312" s="1"/>
  <c r="AP320"/>
  <c r="AQ320" s="1"/>
  <c r="AR320" s="1"/>
  <c r="X320"/>
  <c r="Y320" s="1"/>
  <c r="BN240"/>
  <c r="BN238"/>
  <c r="M186"/>
  <c r="AK275" s="1"/>
  <c r="AN275" s="1"/>
  <c r="H186"/>
  <c r="J186" s="1"/>
  <c r="H195"/>
  <c r="J195" s="1"/>
  <c r="M195"/>
  <c r="AK284" s="1"/>
  <c r="AN284" s="1"/>
  <c r="BN239"/>
  <c r="AU212"/>
  <c r="AW212" s="1"/>
  <c r="F212"/>
  <c r="H196"/>
  <c r="J196" s="1"/>
  <c r="M196"/>
  <c r="AK285" s="1"/>
  <c r="AN285" s="1"/>
  <c r="U307"/>
  <c r="V307"/>
  <c r="W307" s="1"/>
  <c r="Q307"/>
  <c r="R307" s="1"/>
  <c r="AK307"/>
  <c r="AL307" s="1"/>
  <c r="AM307" s="1"/>
  <c r="AP276"/>
  <c r="AF276"/>
  <c r="M318"/>
  <c r="N318" s="1"/>
  <c r="T318" s="1"/>
  <c r="L318"/>
  <c r="F210"/>
  <c r="AU210"/>
  <c r="AW210" s="1"/>
  <c r="AU209"/>
  <c r="AW209" s="1"/>
  <c r="F209"/>
  <c r="AP314"/>
  <c r="AQ314" s="1"/>
  <c r="AR314" s="1"/>
  <c r="X314"/>
  <c r="Y314" s="1"/>
  <c r="BK205"/>
  <c r="Q244"/>
  <c r="U244"/>
  <c r="X244"/>
  <c r="Z244" s="1"/>
  <c r="BK207"/>
  <c r="M275"/>
  <c r="N275" s="1"/>
  <c r="R275" s="1"/>
  <c r="L275"/>
  <c r="R240"/>
  <c r="M207"/>
  <c r="N207" s="1"/>
  <c r="L207"/>
  <c r="Q214"/>
  <c r="U214"/>
  <c r="BN248"/>
  <c r="M310"/>
  <c r="N310" s="1"/>
  <c r="T310" s="1"/>
  <c r="AA310"/>
  <c r="L310"/>
  <c r="M215"/>
  <c r="N215" s="1"/>
  <c r="L215"/>
  <c r="AG320"/>
  <c r="AA320"/>
  <c r="AE320"/>
  <c r="AE314"/>
  <c r="AG314"/>
  <c r="M239"/>
  <c r="N239" s="1"/>
  <c r="O239" s="1"/>
  <c r="P239" s="1"/>
  <c r="L239"/>
  <c r="M192"/>
  <c r="AK281" s="1"/>
  <c r="AN281" s="1"/>
  <c r="H192"/>
  <c r="J192" s="1"/>
  <c r="BN250"/>
  <c r="M205"/>
  <c r="N205" s="1"/>
  <c r="L205"/>
  <c r="BK210"/>
  <c r="R206"/>
  <c r="O206"/>
  <c r="P206" s="1"/>
  <c r="M209"/>
  <c r="N209" s="1"/>
  <c r="L209"/>
  <c r="M187"/>
  <c r="AK276" s="1"/>
  <c r="AN276" s="1"/>
  <c r="H187"/>
  <c r="J187" s="1"/>
  <c r="Q283"/>
  <c r="U283"/>
  <c r="F213"/>
  <c r="AU213"/>
  <c r="AW213" s="1"/>
  <c r="U248"/>
  <c r="Q248"/>
  <c r="BK212"/>
  <c r="Q240"/>
  <c r="U240"/>
  <c r="L312"/>
  <c r="M312"/>
  <c r="N312" s="1"/>
  <c r="T312" s="1"/>
  <c r="U318"/>
  <c r="H184"/>
  <c r="J184" s="1"/>
  <c r="M184"/>
  <c r="AK273" s="1"/>
  <c r="AN273" s="1"/>
  <c r="F211"/>
  <c r="AU211"/>
  <c r="AW211" s="1"/>
  <c r="L279"/>
  <c r="M279"/>
  <c r="N279" s="1"/>
  <c r="H191"/>
  <c r="J191" s="1"/>
  <c r="M191"/>
  <c r="AK280" s="1"/>
  <c r="AN280" s="1"/>
  <c r="BI276"/>
  <c r="F276"/>
  <c r="O248"/>
  <c r="P248" s="1"/>
  <c r="BK202"/>
  <c r="M193"/>
  <c r="AK282" s="1"/>
  <c r="AN282" s="1"/>
  <c r="H193"/>
  <c r="J193" s="1"/>
  <c r="V319"/>
  <c r="W319" s="1"/>
  <c r="AK319"/>
  <c r="AL319" s="1"/>
  <c r="AM319" s="1"/>
  <c r="Q319"/>
  <c r="R319" s="1"/>
  <c r="AA319" s="1"/>
  <c r="U319"/>
  <c r="AN314"/>
  <c r="AT314"/>
  <c r="AV314"/>
  <c r="L280"/>
  <c r="M280"/>
  <c r="N280" s="1"/>
  <c r="M243"/>
  <c r="N243" s="1"/>
  <c r="R243" s="1"/>
  <c r="L243"/>
  <c r="BN245"/>
  <c r="M277"/>
  <c r="N277" s="1"/>
  <c r="L277"/>
  <c r="Q249"/>
  <c r="U249"/>
  <c r="U278"/>
  <c r="Q278"/>
  <c r="O278"/>
  <c r="P278" s="1"/>
  <c r="S278" s="1"/>
  <c r="T278" s="1"/>
  <c r="X278"/>
  <c r="Z278" s="1"/>
  <c r="Q274"/>
  <c r="S274" s="1"/>
  <c r="X274"/>
  <c r="Z274" s="1"/>
  <c r="U274"/>
  <c r="M202"/>
  <c r="N202" s="1"/>
  <c r="L202"/>
  <c r="R278"/>
  <c r="L272"/>
  <c r="M272"/>
  <c r="N272" s="1"/>
  <c r="Q285"/>
  <c r="U285"/>
  <c r="X285"/>
  <c r="Z285" s="1"/>
  <c r="Q247"/>
  <c r="U247"/>
  <c r="BK214"/>
  <c r="X240"/>
  <c r="Z240" s="1"/>
  <c r="L250"/>
  <c r="M250"/>
  <c r="N250" s="1"/>
  <c r="O250" s="1"/>
  <c r="P250" s="1"/>
  <c r="F284"/>
  <c r="BI284"/>
  <c r="L246"/>
  <c r="M246"/>
  <c r="N246" s="1"/>
  <c r="O247"/>
  <c r="P247" s="1"/>
  <c r="H188"/>
  <c r="J188" s="1"/>
  <c r="M188"/>
  <c r="AK277" s="1"/>
  <c r="AN277" s="1"/>
  <c r="U204"/>
  <c r="Q204"/>
  <c r="M190"/>
  <c r="AK279" s="1"/>
  <c r="AN279" s="1"/>
  <c r="H190"/>
  <c r="J190" s="1"/>
  <c r="BK213"/>
  <c r="Q318" l="1"/>
  <c r="R318" s="1"/>
  <c r="AA318" s="1"/>
  <c r="AN320"/>
  <c r="AK318"/>
  <c r="AL318" s="1"/>
  <c r="AM318" s="1"/>
  <c r="AT320"/>
  <c r="U308"/>
  <c r="AK313"/>
  <c r="AL313" s="1"/>
  <c r="AM313" s="1"/>
  <c r="AN313" s="1"/>
  <c r="Q313"/>
  <c r="R313" s="1"/>
  <c r="AG313" s="1"/>
  <c r="V308"/>
  <c r="W308" s="1"/>
  <c r="X308" s="1"/>
  <c r="Y308" s="1"/>
  <c r="U312"/>
  <c r="U309"/>
  <c r="AK309"/>
  <c r="AL309" s="1"/>
  <c r="AM309" s="1"/>
  <c r="Q309"/>
  <c r="R309" s="1"/>
  <c r="V309"/>
  <c r="W309" s="1"/>
  <c r="V313"/>
  <c r="W313" s="1"/>
  <c r="AP313" s="1"/>
  <c r="AQ313" s="1"/>
  <c r="AR313" s="1"/>
  <c r="Q308"/>
  <c r="R308" s="1"/>
  <c r="AG308" s="1"/>
  <c r="R281"/>
  <c r="AC278"/>
  <c r="AZ278" s="1"/>
  <c r="AP247"/>
  <c r="AI247" s="1"/>
  <c r="R239"/>
  <c r="R245"/>
  <c r="S248"/>
  <c r="AC248" s="1"/>
  <c r="U237"/>
  <c r="Q237"/>
  <c r="X237"/>
  <c r="Z237" s="1"/>
  <c r="R203"/>
  <c r="O214"/>
  <c r="P214" s="1"/>
  <c r="S214" s="1"/>
  <c r="T214" s="1"/>
  <c r="Q211"/>
  <c r="U211"/>
  <c r="X211"/>
  <c r="Z211" s="1"/>
  <c r="AI211" s="1"/>
  <c r="S206"/>
  <c r="AC206" s="1"/>
  <c r="T274"/>
  <c r="AC274"/>
  <c r="AZ274" s="1"/>
  <c r="AD274"/>
  <c r="U215"/>
  <c r="Q215"/>
  <c r="X215"/>
  <c r="Z215" s="1"/>
  <c r="AI215" s="1"/>
  <c r="AV317"/>
  <c r="AT317"/>
  <c r="AN317"/>
  <c r="O243"/>
  <c r="P243" s="1"/>
  <c r="AT312"/>
  <c r="AN312"/>
  <c r="AV312"/>
  <c r="R237"/>
  <c r="O237"/>
  <c r="P237" s="1"/>
  <c r="U280"/>
  <c r="Q280"/>
  <c r="O280"/>
  <c r="P280" s="1"/>
  <c r="R280"/>
  <c r="X280"/>
  <c r="Z280" s="1"/>
  <c r="R241"/>
  <c r="O241"/>
  <c r="P241" s="1"/>
  <c r="S283"/>
  <c r="AK315"/>
  <c r="AL315" s="1"/>
  <c r="AM315" s="1"/>
  <c r="V315"/>
  <c r="W315" s="1"/>
  <c r="U315"/>
  <c r="Q315"/>
  <c r="R315" s="1"/>
  <c r="AP319"/>
  <c r="AQ319" s="1"/>
  <c r="AR319" s="1"/>
  <c r="X319"/>
  <c r="Y319" s="1"/>
  <c r="Q205"/>
  <c r="U205"/>
  <c r="R205"/>
  <c r="X205"/>
  <c r="Z205" s="1"/>
  <c r="AI205" s="1"/>
  <c r="O205"/>
  <c r="P205" s="1"/>
  <c r="U207"/>
  <c r="Q207"/>
  <c r="R207"/>
  <c r="X207"/>
  <c r="Z207" s="1"/>
  <c r="AI207" s="1"/>
  <c r="O207"/>
  <c r="P207" s="1"/>
  <c r="Q241"/>
  <c r="U241"/>
  <c r="X241"/>
  <c r="Z241" s="1"/>
  <c r="Q238"/>
  <c r="U238"/>
  <c r="X238"/>
  <c r="Z238" s="1"/>
  <c r="O238"/>
  <c r="P238" s="1"/>
  <c r="R238"/>
  <c r="U245"/>
  <c r="Q245"/>
  <c r="X245"/>
  <c r="Z245" s="1"/>
  <c r="X310"/>
  <c r="Y310" s="1"/>
  <c r="AP310"/>
  <c r="AQ310" s="1"/>
  <c r="AR310" s="1"/>
  <c r="AE308"/>
  <c r="AA308"/>
  <c r="S247"/>
  <c r="AF285"/>
  <c r="AP285"/>
  <c r="O211"/>
  <c r="P211" s="1"/>
  <c r="R211"/>
  <c r="X318"/>
  <c r="Y318" s="1"/>
  <c r="AP318"/>
  <c r="AQ318" s="1"/>
  <c r="AR318" s="1"/>
  <c r="AG311"/>
  <c r="AA311"/>
  <c r="AE311"/>
  <c r="U208"/>
  <c r="Q208"/>
  <c r="O208"/>
  <c r="P208" s="1"/>
  <c r="X208"/>
  <c r="Z208" s="1"/>
  <c r="AI208" s="1"/>
  <c r="R208"/>
  <c r="AV316"/>
  <c r="AN316"/>
  <c r="AT316"/>
  <c r="U210"/>
  <c r="Q210"/>
  <c r="X210"/>
  <c r="Z210" s="1"/>
  <c r="AI210" s="1"/>
  <c r="AV310"/>
  <c r="AT310"/>
  <c r="AN310"/>
  <c r="U272"/>
  <c r="Q272"/>
  <c r="X272"/>
  <c r="Z272" s="1"/>
  <c r="O272"/>
  <c r="P272" s="1"/>
  <c r="R272"/>
  <c r="S245"/>
  <c r="O246"/>
  <c r="P246" s="1"/>
  <c r="R246"/>
  <c r="AG319"/>
  <c r="AE319"/>
  <c r="U281"/>
  <c r="Q281"/>
  <c r="S281" s="1"/>
  <c r="X281"/>
  <c r="Z281" s="1"/>
  <c r="O284"/>
  <c r="P284" s="1"/>
  <c r="R284"/>
  <c r="AP274"/>
  <c r="AF274"/>
  <c r="AN319"/>
  <c r="AT319"/>
  <c r="AV319"/>
  <c r="AG318"/>
  <c r="AE318"/>
  <c r="U250"/>
  <c r="Q250"/>
  <c r="S250" s="1"/>
  <c r="X250"/>
  <c r="Z250" s="1"/>
  <c r="AN318"/>
  <c r="AV318"/>
  <c r="AT318"/>
  <c r="O210"/>
  <c r="P210" s="1"/>
  <c r="R210"/>
  <c r="O212"/>
  <c r="P212" s="1"/>
  <c r="R212"/>
  <c r="AD278"/>
  <c r="Q213"/>
  <c r="U213"/>
  <c r="X213"/>
  <c r="Z213" s="1"/>
  <c r="AI213" s="1"/>
  <c r="AQ240"/>
  <c r="AP240"/>
  <c r="AP278"/>
  <c r="AF278"/>
  <c r="Q277"/>
  <c r="U277"/>
  <c r="R277"/>
  <c r="X277"/>
  <c r="Z277" s="1"/>
  <c r="O277"/>
  <c r="P277" s="1"/>
  <c r="U209"/>
  <c r="Q209"/>
  <c r="X209"/>
  <c r="Z209" s="1"/>
  <c r="AI209" s="1"/>
  <c r="S240"/>
  <c r="AV307"/>
  <c r="AN307"/>
  <c r="AT307"/>
  <c r="AN311"/>
  <c r="AV311"/>
  <c r="AT311"/>
  <c r="S244"/>
  <c r="AG316"/>
  <c r="AE316"/>
  <c r="AA316"/>
  <c r="Q282"/>
  <c r="U282"/>
  <c r="X282"/>
  <c r="Z282" s="1"/>
  <c r="O282"/>
  <c r="P282" s="1"/>
  <c r="AG310"/>
  <c r="AE310"/>
  <c r="AV308"/>
  <c r="AT308"/>
  <c r="AN308"/>
  <c r="Q279"/>
  <c r="U279"/>
  <c r="X279"/>
  <c r="Z279" s="1"/>
  <c r="R279"/>
  <c r="O279"/>
  <c r="P279" s="1"/>
  <c r="AP312"/>
  <c r="AQ312" s="1"/>
  <c r="AR312" s="1"/>
  <c r="X312"/>
  <c r="Y312" s="1"/>
  <c r="O204"/>
  <c r="P204" s="1"/>
  <c r="R204"/>
  <c r="O215"/>
  <c r="P215" s="1"/>
  <c r="U243"/>
  <c r="X243"/>
  <c r="Z243" s="1"/>
  <c r="Q243"/>
  <c r="R276"/>
  <c r="O276"/>
  <c r="P276" s="1"/>
  <c r="Q239"/>
  <c r="S239" s="1"/>
  <c r="U239"/>
  <c r="X239"/>
  <c r="Z239" s="1"/>
  <c r="U202"/>
  <c r="Q202"/>
  <c r="O202"/>
  <c r="P202" s="1"/>
  <c r="X202"/>
  <c r="Z202" s="1"/>
  <c r="AI202" s="1"/>
  <c r="R202"/>
  <c r="W278"/>
  <c r="V278"/>
  <c r="AE278"/>
  <c r="AI278" s="1"/>
  <c r="O213"/>
  <c r="P213" s="1"/>
  <c r="R213"/>
  <c r="O209"/>
  <c r="P209" s="1"/>
  <c r="R209"/>
  <c r="AE307"/>
  <c r="AG307"/>
  <c r="AA307"/>
  <c r="U284"/>
  <c r="Q284"/>
  <c r="X284"/>
  <c r="Z284" s="1"/>
  <c r="R285"/>
  <c r="O285"/>
  <c r="P285" s="1"/>
  <c r="AP316"/>
  <c r="AQ316" s="1"/>
  <c r="AR316" s="1"/>
  <c r="X316"/>
  <c r="Y316" s="1"/>
  <c r="Q242"/>
  <c r="U242"/>
  <c r="X242"/>
  <c r="Z242" s="1"/>
  <c r="U273"/>
  <c r="Q273"/>
  <c r="O273"/>
  <c r="P273" s="1"/>
  <c r="X273"/>
  <c r="Z273" s="1"/>
  <c r="R273"/>
  <c r="AP317"/>
  <c r="AQ317" s="1"/>
  <c r="AR317" s="1"/>
  <c r="X317"/>
  <c r="Y317" s="1"/>
  <c r="Q246"/>
  <c r="U246"/>
  <c r="X246"/>
  <c r="Z246" s="1"/>
  <c r="Q275"/>
  <c r="U275"/>
  <c r="X275"/>
  <c r="Z275" s="1"/>
  <c r="AP244"/>
  <c r="AQ244"/>
  <c r="R250"/>
  <c r="AP307"/>
  <c r="AQ307" s="1"/>
  <c r="AR307" s="1"/>
  <c r="X307"/>
  <c r="Y307" s="1"/>
  <c r="AG312"/>
  <c r="AE312"/>
  <c r="AP311"/>
  <c r="AQ311" s="1"/>
  <c r="AR311" s="1"/>
  <c r="X311"/>
  <c r="Y311" s="1"/>
  <c r="R215"/>
  <c r="O275"/>
  <c r="P275" s="1"/>
  <c r="S275" s="1"/>
  <c r="O249"/>
  <c r="P249" s="1"/>
  <c r="R249"/>
  <c r="O242"/>
  <c r="P242" s="1"/>
  <c r="Q203"/>
  <c r="S203" s="1"/>
  <c r="U203"/>
  <c r="X203"/>
  <c r="Z203" s="1"/>
  <c r="AI203" s="1"/>
  <c r="AG317"/>
  <c r="AE317"/>
  <c r="AA317"/>
  <c r="AV313" l="1"/>
  <c r="AT313"/>
  <c r="AA313"/>
  <c r="AE313"/>
  <c r="X313"/>
  <c r="Y313" s="1"/>
  <c r="AP308"/>
  <c r="AQ308" s="1"/>
  <c r="AR308" s="1"/>
  <c r="AN309"/>
  <c r="AT309"/>
  <c r="AV309"/>
  <c r="AA309"/>
  <c r="AG309"/>
  <c r="AE309"/>
  <c r="AP309"/>
  <c r="AQ309" s="1"/>
  <c r="AR309" s="1"/>
  <c r="X309"/>
  <c r="Y309" s="1"/>
  <c r="AG278"/>
  <c r="AQ278" s="1"/>
  <c r="S276"/>
  <c r="AJ278"/>
  <c r="AL278" s="1"/>
  <c r="AM278" s="1"/>
  <c r="S279"/>
  <c r="T248"/>
  <c r="AD248"/>
  <c r="AK248" s="1"/>
  <c r="AI240"/>
  <c r="AI244"/>
  <c r="AQ237"/>
  <c r="AP237"/>
  <c r="S249"/>
  <c r="AD249" s="1"/>
  <c r="AD206"/>
  <c r="AF206" s="1"/>
  <c r="T206"/>
  <c r="AD214"/>
  <c r="S209"/>
  <c r="AC209" s="1"/>
  <c r="AC214"/>
  <c r="AE214" s="1"/>
  <c r="S207"/>
  <c r="T207" s="1"/>
  <c r="T203"/>
  <c r="AD203"/>
  <c r="AK203" s="1"/>
  <c r="AC203"/>
  <c r="T281"/>
  <c r="AC281"/>
  <c r="AZ281" s="1"/>
  <c r="AD281"/>
  <c r="AP242"/>
  <c r="AQ242"/>
  <c r="AI242" s="1"/>
  <c r="AP277"/>
  <c r="AF277"/>
  <c r="S284"/>
  <c r="T247"/>
  <c r="AC247"/>
  <c r="AD247"/>
  <c r="T239"/>
  <c r="AC239"/>
  <c r="AD239"/>
  <c r="AP239"/>
  <c r="AQ239"/>
  <c r="S210"/>
  <c r="T245"/>
  <c r="AD245"/>
  <c r="AC245"/>
  <c r="AP280"/>
  <c r="AF280"/>
  <c r="T249"/>
  <c r="AQ246"/>
  <c r="AP246"/>
  <c r="AI246" s="1"/>
  <c r="AO278"/>
  <c r="Y278"/>
  <c r="AP282"/>
  <c r="AF282"/>
  <c r="AQ245"/>
  <c r="AP245"/>
  <c r="AQ241"/>
  <c r="AP241"/>
  <c r="AI241" s="1"/>
  <c r="T283"/>
  <c r="AC283"/>
  <c r="AZ283" s="1"/>
  <c r="AD283"/>
  <c r="W214"/>
  <c r="V214"/>
  <c r="Y214" s="1"/>
  <c r="T275"/>
  <c r="AD275"/>
  <c r="AC275"/>
  <c r="AZ275" s="1"/>
  <c r="AF284"/>
  <c r="AP284"/>
  <c r="AQ243"/>
  <c r="AP243"/>
  <c r="W248"/>
  <c r="V248"/>
  <c r="Y248" s="1"/>
  <c r="S277"/>
  <c r="S212"/>
  <c r="S246"/>
  <c r="S205"/>
  <c r="S241"/>
  <c r="S237"/>
  <c r="AH206"/>
  <c r="AG206"/>
  <c r="AE206"/>
  <c r="V206"/>
  <c r="Y206" s="1"/>
  <c r="W206"/>
  <c r="AF279"/>
  <c r="AP279"/>
  <c r="S238"/>
  <c r="S213"/>
  <c r="V274"/>
  <c r="AE274"/>
  <c r="AI274" s="1"/>
  <c r="W274"/>
  <c r="S242"/>
  <c r="AF273"/>
  <c r="AP273"/>
  <c r="T276"/>
  <c r="AD276"/>
  <c r="AC276"/>
  <c r="AZ276" s="1"/>
  <c r="T244"/>
  <c r="AD244"/>
  <c r="AC244"/>
  <c r="AF272"/>
  <c r="AP272"/>
  <c r="S208"/>
  <c r="X315"/>
  <c r="Y315" s="1"/>
  <c r="AP315"/>
  <c r="AQ315" s="1"/>
  <c r="AR315" s="1"/>
  <c r="S243"/>
  <c r="T279"/>
  <c r="AC279"/>
  <c r="AZ279" s="1"/>
  <c r="AD279"/>
  <c r="T250"/>
  <c r="AD250"/>
  <c r="AC250"/>
  <c r="AK206"/>
  <c r="AF281"/>
  <c r="AP281"/>
  <c r="AE315"/>
  <c r="AE322" s="1"/>
  <c r="AE323" s="1"/>
  <c r="AE324" s="1"/>
  <c r="AG315"/>
  <c r="AA315"/>
  <c r="AA321" s="1"/>
  <c r="AF275"/>
  <c r="AP275"/>
  <c r="S202"/>
  <c r="S215"/>
  <c r="T240"/>
  <c r="AD240"/>
  <c r="AC240"/>
  <c r="AK240" s="1"/>
  <c r="S272"/>
  <c r="AP238"/>
  <c r="AI238" s="1"/>
  <c r="AQ238"/>
  <c r="S280"/>
  <c r="S273"/>
  <c r="S285"/>
  <c r="S204"/>
  <c r="AG248"/>
  <c r="AF248"/>
  <c r="S282"/>
  <c r="AV278"/>
  <c r="AW278" s="1"/>
  <c r="AQ250"/>
  <c r="AP250"/>
  <c r="AI250" s="1"/>
  <c r="AG274"/>
  <c r="AQ274" s="1"/>
  <c r="AV274" s="1"/>
  <c r="AW274" s="1"/>
  <c r="S211"/>
  <c r="AV315"/>
  <c r="AT315"/>
  <c r="AN315"/>
  <c r="AJ274" l="1"/>
  <c r="AL274" s="1"/>
  <c r="AM274" s="1"/>
  <c r="AG281"/>
  <c r="AQ281" s="1"/>
  <c r="AH248"/>
  <c r="AI243"/>
  <c r="AE248"/>
  <c r="AC249"/>
  <c r="AF249" s="1"/>
  <c r="AI245"/>
  <c r="AK245" s="1"/>
  <c r="AI239"/>
  <c r="AK239" s="1"/>
  <c r="AI237"/>
  <c r="AF214"/>
  <c r="AD209"/>
  <c r="T209"/>
  <c r="AC207"/>
  <c r="AD207"/>
  <c r="AG207" s="1"/>
  <c r="AG214"/>
  <c r="AH214"/>
  <c r="AK214"/>
  <c r="AK209"/>
  <c r="AX274"/>
  <c r="BC274"/>
  <c r="BD274" s="1"/>
  <c r="BB274"/>
  <c r="BL274"/>
  <c r="T211"/>
  <c r="AD211"/>
  <c r="AC211"/>
  <c r="T238"/>
  <c r="AC238"/>
  <c r="AD238"/>
  <c r="AK238" s="1"/>
  <c r="T282"/>
  <c r="AC282"/>
  <c r="AZ282" s="1"/>
  <c r="AD282"/>
  <c r="T273"/>
  <c r="AD273"/>
  <c r="AC273"/>
  <c r="AZ273" s="1"/>
  <c r="W240"/>
  <c r="V240"/>
  <c r="Y240" s="1"/>
  <c r="T243"/>
  <c r="AC243"/>
  <c r="AD243"/>
  <c r="AG283"/>
  <c r="AQ283" s="1"/>
  <c r="AV283" s="1"/>
  <c r="AW283" s="1"/>
  <c r="T284"/>
  <c r="AC284"/>
  <c r="AZ284" s="1"/>
  <c r="AD284"/>
  <c r="T280"/>
  <c r="AD280"/>
  <c r="AC280"/>
  <c r="AZ280" s="1"/>
  <c r="T215"/>
  <c r="AC215"/>
  <c r="AD215"/>
  <c r="AH244"/>
  <c r="AE244"/>
  <c r="AF244"/>
  <c r="AG244"/>
  <c r="T213"/>
  <c r="AC213"/>
  <c r="AD213"/>
  <c r="T246"/>
  <c r="AC246"/>
  <c r="AD246"/>
  <c r="W281"/>
  <c r="AE281"/>
  <c r="AI281" s="1"/>
  <c r="V281"/>
  <c r="T202"/>
  <c r="AD202"/>
  <c r="AC202"/>
  <c r="W207"/>
  <c r="V207"/>
  <c r="Y207" s="1"/>
  <c r="W244"/>
  <c r="V244"/>
  <c r="Y244" s="1"/>
  <c r="T242"/>
  <c r="AD242"/>
  <c r="AK242" s="1"/>
  <c r="AC242"/>
  <c r="T212"/>
  <c r="AC212"/>
  <c r="AD212"/>
  <c r="V283"/>
  <c r="W283"/>
  <c r="AE283"/>
  <c r="AI283" s="1"/>
  <c r="AG239"/>
  <c r="AE239"/>
  <c r="AF239"/>
  <c r="AH239"/>
  <c r="AE250"/>
  <c r="AH250"/>
  <c r="AG250"/>
  <c r="AF250"/>
  <c r="T208"/>
  <c r="AC208"/>
  <c r="AD208"/>
  <c r="T277"/>
  <c r="AC277"/>
  <c r="AZ277" s="1"/>
  <c r="AD277"/>
  <c r="AG277" s="1"/>
  <c r="AQ277" s="1"/>
  <c r="AG275"/>
  <c r="AQ275" s="1"/>
  <c r="AV275" s="1"/>
  <c r="AW275" s="1"/>
  <c r="V250"/>
  <c r="Y250" s="1"/>
  <c r="W250"/>
  <c r="AG276"/>
  <c r="AQ276" s="1"/>
  <c r="AV276" s="1"/>
  <c r="AW276" s="1"/>
  <c r="AO248"/>
  <c r="AN248"/>
  <c r="AE249"/>
  <c r="AG249"/>
  <c r="AH249"/>
  <c r="AG245"/>
  <c r="AH245"/>
  <c r="AF245"/>
  <c r="AE245"/>
  <c r="W239"/>
  <c r="V239"/>
  <c r="Y239" s="1"/>
  <c r="AK250"/>
  <c r="T272"/>
  <c r="AC272"/>
  <c r="AZ272" s="1"/>
  <c r="AD272"/>
  <c r="W276"/>
  <c r="AE276"/>
  <c r="AI276" s="1"/>
  <c r="V276"/>
  <c r="Y274"/>
  <c r="AO274"/>
  <c r="AG279"/>
  <c r="AQ279" s="1"/>
  <c r="AV279" s="1"/>
  <c r="AW279" s="1"/>
  <c r="AC237"/>
  <c r="T237"/>
  <c r="AD237"/>
  <c r="W275"/>
  <c r="V275"/>
  <c r="AE275"/>
  <c r="AI275" s="1"/>
  <c r="W249"/>
  <c r="V249"/>
  <c r="Y249" s="1"/>
  <c r="V245"/>
  <c r="Y245" s="1"/>
  <c r="W245"/>
  <c r="AE247"/>
  <c r="AH247"/>
  <c r="AF247"/>
  <c r="AG247"/>
  <c r="AK247"/>
  <c r="T204"/>
  <c r="AD204"/>
  <c r="AC204"/>
  <c r="AE321"/>
  <c r="T241"/>
  <c r="AC241"/>
  <c r="AD241"/>
  <c r="AJ214"/>
  <c r="AL214" s="1"/>
  <c r="AO214"/>
  <c r="AF209"/>
  <c r="AG209"/>
  <c r="AE209"/>
  <c r="AH209"/>
  <c r="AA322"/>
  <c r="AA323" s="1"/>
  <c r="T210"/>
  <c r="AC210"/>
  <c r="AD210"/>
  <c r="AK244"/>
  <c r="AF203"/>
  <c r="AE203"/>
  <c r="AH203"/>
  <c r="AG203"/>
  <c r="BB278"/>
  <c r="AX278"/>
  <c r="BC278"/>
  <c r="BD278" s="1"/>
  <c r="BL278"/>
  <c r="T285"/>
  <c r="AD285"/>
  <c r="AC285"/>
  <c r="AZ285" s="1"/>
  <c r="AF240"/>
  <c r="AH240"/>
  <c r="AE240"/>
  <c r="AG240"/>
  <c r="W279"/>
  <c r="V279"/>
  <c r="AE279"/>
  <c r="AI279" s="1"/>
  <c r="AJ206"/>
  <c r="AL206" s="1"/>
  <c r="AO206"/>
  <c r="T205"/>
  <c r="AD205"/>
  <c r="AC205"/>
  <c r="W209"/>
  <c r="V209"/>
  <c r="Y209" s="1"/>
  <c r="V247"/>
  <c r="Y247" s="1"/>
  <c r="W247"/>
  <c r="AV281"/>
  <c r="AW281" s="1"/>
  <c r="W203"/>
  <c r="V203"/>
  <c r="Y203" s="1"/>
  <c r="AJ275" l="1"/>
  <c r="AL275" s="1"/>
  <c r="AM275" s="1"/>
  <c r="AJ283"/>
  <c r="AL283" s="1"/>
  <c r="AM283" s="1"/>
  <c r="AJ281"/>
  <c r="AL281" s="1"/>
  <c r="AM281" s="1"/>
  <c r="AG284"/>
  <c r="AQ284" s="1"/>
  <c r="AV284" s="1"/>
  <c r="AW284" s="1"/>
  <c r="AJ276"/>
  <c r="AL276" s="1"/>
  <c r="AM276" s="1"/>
  <c r="AJ279"/>
  <c r="AL279" s="1"/>
  <c r="AM279" s="1"/>
  <c r="AG272"/>
  <c r="AQ272" s="1"/>
  <c r="AV272" s="1"/>
  <c r="AW272" s="1"/>
  <c r="AG273"/>
  <c r="AQ273" s="1"/>
  <c r="AV273" s="1"/>
  <c r="AW273" s="1"/>
  <c r="AK249"/>
  <c r="AK243"/>
  <c r="AK246"/>
  <c r="AJ248"/>
  <c r="AL248" s="1"/>
  <c r="AE207"/>
  <c r="AH207"/>
  <c r="AF207"/>
  <c r="AK207"/>
  <c r="BB276"/>
  <c r="AX276"/>
  <c r="BC276"/>
  <c r="BD276" s="1"/>
  <c r="BL276"/>
  <c r="AM248"/>
  <c r="AX283"/>
  <c r="BC283"/>
  <c r="BD283" s="1"/>
  <c r="BB283"/>
  <c r="BL283"/>
  <c r="W202"/>
  <c r="V202"/>
  <c r="Y202" s="1"/>
  <c r="AF241"/>
  <c r="AE241"/>
  <c r="AH241"/>
  <c r="AG241"/>
  <c r="AG204"/>
  <c r="AF204"/>
  <c r="AH204"/>
  <c r="AE204"/>
  <c r="AK204"/>
  <c r="Y276"/>
  <c r="AO276"/>
  <c r="W212"/>
  <c r="V212"/>
  <c r="Y212" s="1"/>
  <c r="V213"/>
  <c r="Y213" s="1"/>
  <c r="W213"/>
  <c r="V273"/>
  <c r="W273"/>
  <c r="AE273"/>
  <c r="AI273" s="1"/>
  <c r="AF211"/>
  <c r="AE211"/>
  <c r="AH211"/>
  <c r="AG211"/>
  <c r="AK211"/>
  <c r="AO203"/>
  <c r="AJ203"/>
  <c r="AL203" s="1"/>
  <c r="AH205"/>
  <c r="AG205"/>
  <c r="AF205"/>
  <c r="AE205"/>
  <c r="AK205"/>
  <c r="AG285"/>
  <c r="AQ285" s="1"/>
  <c r="AV285" s="1"/>
  <c r="AW285" s="1"/>
  <c r="W204"/>
  <c r="V204"/>
  <c r="Y204" s="1"/>
  <c r="AO239"/>
  <c r="AN239"/>
  <c r="W277"/>
  <c r="V277"/>
  <c r="AE277"/>
  <c r="AI277" s="1"/>
  <c r="AG202"/>
  <c r="AH202"/>
  <c r="AF202"/>
  <c r="AE202"/>
  <c r="AK202"/>
  <c r="AG280"/>
  <c r="AQ280" s="1"/>
  <c r="AV280" s="1"/>
  <c r="AW280" s="1"/>
  <c r="V280"/>
  <c r="W280"/>
  <c r="AE280"/>
  <c r="AI280" s="1"/>
  <c r="AF243"/>
  <c r="AH243"/>
  <c r="AG243"/>
  <c r="AE243"/>
  <c r="W211"/>
  <c r="V211"/>
  <c r="Y211" s="1"/>
  <c r="V205"/>
  <c r="Y205" s="1"/>
  <c r="W205"/>
  <c r="V241"/>
  <c r="Y241" s="1"/>
  <c r="W241"/>
  <c r="AE237"/>
  <c r="AG237"/>
  <c r="AF237"/>
  <c r="AH237"/>
  <c r="AK237"/>
  <c r="AN249"/>
  <c r="AO249"/>
  <c r="W237"/>
  <c r="V237"/>
  <c r="Y237" s="1"/>
  <c r="BC279"/>
  <c r="BD279" s="1"/>
  <c r="BB279"/>
  <c r="AX279"/>
  <c r="BL279"/>
  <c r="V208"/>
  <c r="Y208" s="1"/>
  <c r="W208"/>
  <c r="AO244"/>
  <c r="AN244"/>
  <c r="AJ244" s="1"/>
  <c r="AL244" s="1"/>
  <c r="AG215"/>
  <c r="AF215"/>
  <c r="AE215"/>
  <c r="AH215"/>
  <c r="AK215"/>
  <c r="AN240"/>
  <c r="AO240"/>
  <c r="AN247"/>
  <c r="AO247"/>
  <c r="AE210"/>
  <c r="AG210"/>
  <c r="AF210"/>
  <c r="AH210"/>
  <c r="AK210"/>
  <c r="AK241"/>
  <c r="AN250"/>
  <c r="AO250"/>
  <c r="AJ250" s="1"/>
  <c r="AL250" s="1"/>
  <c r="W246"/>
  <c r="V246"/>
  <c r="Y246" s="1"/>
  <c r="AE208"/>
  <c r="AF208"/>
  <c r="AH208"/>
  <c r="AG208"/>
  <c r="AK208"/>
  <c r="AE242"/>
  <c r="AG242"/>
  <c r="AF242"/>
  <c r="AH242"/>
  <c r="AG282"/>
  <c r="AQ282" s="1"/>
  <c r="AV282" s="1"/>
  <c r="AW282" s="1"/>
  <c r="AX281"/>
  <c r="BB281"/>
  <c r="BC281"/>
  <c r="BD281" s="1"/>
  <c r="BL281"/>
  <c r="V242"/>
  <c r="Y242" s="1"/>
  <c r="W242"/>
  <c r="AF246"/>
  <c r="AG246"/>
  <c r="AH246"/>
  <c r="AE246"/>
  <c r="W243"/>
  <c r="V243"/>
  <c r="Y243" s="1"/>
  <c r="V282"/>
  <c r="W282"/>
  <c r="AE282"/>
  <c r="AI282" s="1"/>
  <c r="AM206"/>
  <c r="AQ206" s="1"/>
  <c r="AS206" s="1"/>
  <c r="AV206" s="1"/>
  <c r="BN278"/>
  <c r="BO278" s="1"/>
  <c r="BP278" s="1"/>
  <c r="BE278"/>
  <c r="BF278" s="1"/>
  <c r="BJ278"/>
  <c r="AO283"/>
  <c r="Y283"/>
  <c r="AO281"/>
  <c r="Y281"/>
  <c r="AH238"/>
  <c r="AG238"/>
  <c r="AF238"/>
  <c r="AE238"/>
  <c r="AO209"/>
  <c r="AJ209"/>
  <c r="AL209" s="1"/>
  <c r="Y279"/>
  <c r="AO279"/>
  <c r="AX275"/>
  <c r="BB275"/>
  <c r="BC275"/>
  <c r="BD275" s="1"/>
  <c r="BL275"/>
  <c r="AH212"/>
  <c r="AG212"/>
  <c r="AF212"/>
  <c r="AE212"/>
  <c r="AK212"/>
  <c r="AJ207"/>
  <c r="AL207" s="1"/>
  <c r="AO207"/>
  <c r="AE213"/>
  <c r="AH213"/>
  <c r="AG213"/>
  <c r="AF213"/>
  <c r="AK213"/>
  <c r="W215"/>
  <c r="V215"/>
  <c r="Y215" s="1"/>
  <c r="W284"/>
  <c r="V284"/>
  <c r="AE284"/>
  <c r="AI284" s="1"/>
  <c r="V238"/>
  <c r="Y238" s="1"/>
  <c r="W238"/>
  <c r="BJ274"/>
  <c r="BN274"/>
  <c r="BO274" s="1"/>
  <c r="BP274" s="1"/>
  <c r="BE274"/>
  <c r="BF274" s="1"/>
  <c r="W285"/>
  <c r="AJ285"/>
  <c r="AL285" s="1"/>
  <c r="AM285" s="1"/>
  <c r="V285"/>
  <c r="AE285"/>
  <c r="AI285" s="1"/>
  <c r="AO245"/>
  <c r="AN245"/>
  <c r="AJ245" s="1"/>
  <c r="AL245" s="1"/>
  <c r="V210"/>
  <c r="Y210" s="1"/>
  <c r="W210"/>
  <c r="AM214"/>
  <c r="AQ214" s="1"/>
  <c r="AS214" s="1"/>
  <c r="AV214" s="1"/>
  <c r="Y275"/>
  <c r="AO275"/>
  <c r="V272"/>
  <c r="W272"/>
  <c r="AE272"/>
  <c r="AI272" s="1"/>
  <c r="AV277"/>
  <c r="AW277" s="1"/>
  <c r="AJ272" l="1"/>
  <c r="AL272" s="1"/>
  <c r="AM272" s="1"/>
  <c r="AJ273"/>
  <c r="AL273" s="1"/>
  <c r="AM273" s="1"/>
  <c r="AJ239"/>
  <c r="AL239" s="1"/>
  <c r="AJ240"/>
  <c r="AL240" s="1"/>
  <c r="AJ249"/>
  <c r="AL249" s="1"/>
  <c r="AM249" s="1"/>
  <c r="AJ247"/>
  <c r="AL247" s="1"/>
  <c r="AM247"/>
  <c r="AM245"/>
  <c r="AY206"/>
  <c r="AX206"/>
  <c r="BC282"/>
  <c r="BD282" s="1"/>
  <c r="AX282"/>
  <c r="BB282"/>
  <c r="BL282"/>
  <c r="AM240"/>
  <c r="AM250"/>
  <c r="AM239"/>
  <c r="AX214"/>
  <c r="AY214"/>
  <c r="BB284"/>
  <c r="BC284"/>
  <c r="BD284" s="1"/>
  <c r="AX284"/>
  <c r="BL284"/>
  <c r="AO202"/>
  <c r="AJ202"/>
  <c r="AL202" s="1"/>
  <c r="AO215"/>
  <c r="AJ215"/>
  <c r="AL215" s="1"/>
  <c r="AM207"/>
  <c r="AQ207" s="1"/>
  <c r="AS207" s="1"/>
  <c r="AV207" s="1"/>
  <c r="BE275"/>
  <c r="BF275" s="1"/>
  <c r="BN275"/>
  <c r="BO275" s="1"/>
  <c r="BP275" s="1"/>
  <c r="BJ275"/>
  <c r="BN281"/>
  <c r="BO281" s="1"/>
  <c r="BP281" s="1"/>
  <c r="BJ281"/>
  <c r="BE281"/>
  <c r="BF281" s="1"/>
  <c r="AJ211"/>
  <c r="AL211" s="1"/>
  <c r="AO211"/>
  <c r="BB280"/>
  <c r="AX280"/>
  <c r="BC280"/>
  <c r="BD280" s="1"/>
  <c r="BL280"/>
  <c r="AN246"/>
  <c r="AO246"/>
  <c r="AO238"/>
  <c r="AN238"/>
  <c r="AJ282"/>
  <c r="AL282" s="1"/>
  <c r="AM282" s="1"/>
  <c r="BJ279"/>
  <c r="BE279"/>
  <c r="BF279" s="1"/>
  <c r="BN279"/>
  <c r="BO279" s="1"/>
  <c r="BP279" s="1"/>
  <c r="AJ280"/>
  <c r="AL280" s="1"/>
  <c r="AM280" s="1"/>
  <c r="AO204"/>
  <c r="AJ204"/>
  <c r="AL204" s="1"/>
  <c r="AJ213"/>
  <c r="AL213" s="1"/>
  <c r="AO213"/>
  <c r="BE283"/>
  <c r="BF283" s="1"/>
  <c r="BJ283"/>
  <c r="BN283"/>
  <c r="BO283" s="1"/>
  <c r="BP283" s="1"/>
  <c r="AO210"/>
  <c r="AJ210"/>
  <c r="AL210" s="1"/>
  <c r="AJ208"/>
  <c r="AL208" s="1"/>
  <c r="AO208"/>
  <c r="BS274"/>
  <c r="BT274" s="1"/>
  <c r="BU274" s="1"/>
  <c r="BG274"/>
  <c r="BH274" s="1"/>
  <c r="AX272"/>
  <c r="BB272"/>
  <c r="BC272"/>
  <c r="BD272" s="1"/>
  <c r="BL272"/>
  <c r="Y273"/>
  <c r="AO273"/>
  <c r="CA274"/>
  <c r="BQ274"/>
  <c r="BW274"/>
  <c r="AO237"/>
  <c r="AN237"/>
  <c r="AO205"/>
  <c r="AJ205"/>
  <c r="AL205" s="1"/>
  <c r="AO272"/>
  <c r="Y272"/>
  <c r="AX273"/>
  <c r="BC273"/>
  <c r="BD273" s="1"/>
  <c r="BB273"/>
  <c r="BL273"/>
  <c r="AO285"/>
  <c r="Y285"/>
  <c r="AP214"/>
  <c r="AM244"/>
  <c r="Y280"/>
  <c r="AO280"/>
  <c r="AJ212"/>
  <c r="AL212" s="1"/>
  <c r="AO212"/>
  <c r="BN276"/>
  <c r="BO276" s="1"/>
  <c r="BP276" s="1"/>
  <c r="BJ276"/>
  <c r="BE276"/>
  <c r="BF276" s="1"/>
  <c r="BC277"/>
  <c r="BD277" s="1"/>
  <c r="AX277"/>
  <c r="BB277"/>
  <c r="BL277"/>
  <c r="AO284"/>
  <c r="Y284"/>
  <c r="BG278"/>
  <c r="BH278" s="1"/>
  <c r="BS278"/>
  <c r="BT278" s="1"/>
  <c r="BU278" s="1"/>
  <c r="AO243"/>
  <c r="AN243"/>
  <c r="AN242"/>
  <c r="AO242"/>
  <c r="AP206"/>
  <c r="Y277"/>
  <c r="AO277"/>
  <c r="AM203"/>
  <c r="AP203" s="1"/>
  <c r="AM209"/>
  <c r="AQ209" s="1"/>
  <c r="AS209" s="1"/>
  <c r="AV209" s="1"/>
  <c r="Y282"/>
  <c r="AO282"/>
  <c r="AJ284"/>
  <c r="AL284" s="1"/>
  <c r="AM284" s="1"/>
  <c r="BW278"/>
  <c r="CA278"/>
  <c r="BQ278"/>
  <c r="AO241"/>
  <c r="AN241"/>
  <c r="AJ241" s="1"/>
  <c r="AL241" s="1"/>
  <c r="AJ277"/>
  <c r="AL277" s="1"/>
  <c r="AM277" s="1"/>
  <c r="AX285"/>
  <c r="BB285"/>
  <c r="BC285"/>
  <c r="BD285" s="1"/>
  <c r="BL285"/>
  <c r="AS248"/>
  <c r="AU248" s="1"/>
  <c r="AX248" s="1"/>
  <c r="AR248"/>
  <c r="AJ243" l="1"/>
  <c r="AL243" s="1"/>
  <c r="AJ238"/>
  <c r="AL238" s="1"/>
  <c r="AJ237"/>
  <c r="AL237" s="1"/>
  <c r="AM237" s="1"/>
  <c r="AJ246"/>
  <c r="AL246" s="1"/>
  <c r="AM246" s="1"/>
  <c r="AJ242"/>
  <c r="AL242" s="1"/>
  <c r="AM242" s="1"/>
  <c r="AQ203"/>
  <c r="AS203" s="1"/>
  <c r="AV203" s="1"/>
  <c r="AY203" s="1"/>
  <c r="AY207"/>
  <c r="AX207"/>
  <c r="AM241"/>
  <c r="AX209"/>
  <c r="AY209"/>
  <c r="AM243"/>
  <c r="BA203"/>
  <c r="BG203" s="1"/>
  <c r="BH203" s="1"/>
  <c r="AR203"/>
  <c r="BE273"/>
  <c r="BF273" s="1"/>
  <c r="BN273"/>
  <c r="BO273" s="1"/>
  <c r="BP273" s="1"/>
  <c r="BJ273"/>
  <c r="CA279"/>
  <c r="BQ279"/>
  <c r="BW279"/>
  <c r="BS281"/>
  <c r="BT281" s="1"/>
  <c r="BU281" s="1"/>
  <c r="BG281"/>
  <c r="BH281" s="1"/>
  <c r="AS244"/>
  <c r="AU244" s="1"/>
  <c r="AX244" s="1"/>
  <c r="AR244"/>
  <c r="BS279"/>
  <c r="BT279" s="1"/>
  <c r="BU279" s="1"/>
  <c r="BG279"/>
  <c r="BH279" s="1"/>
  <c r="BJ280"/>
  <c r="BE280"/>
  <c r="BF280" s="1"/>
  <c r="BN280"/>
  <c r="BO280" s="1"/>
  <c r="BP280" s="1"/>
  <c r="BE282"/>
  <c r="BF282" s="1"/>
  <c r="BN282"/>
  <c r="BO282" s="1"/>
  <c r="BP282" s="1"/>
  <c r="BJ282"/>
  <c r="BJ285"/>
  <c r="BN285"/>
  <c r="BO285" s="1"/>
  <c r="BP285" s="1"/>
  <c r="BE285"/>
  <c r="BF285" s="1"/>
  <c r="BG283"/>
  <c r="BH283" s="1"/>
  <c r="BS283"/>
  <c r="BT283" s="1"/>
  <c r="BU283" s="1"/>
  <c r="AM215"/>
  <c r="AQ215" s="1"/>
  <c r="AS215" s="1"/>
  <c r="AV215" s="1"/>
  <c r="BE284"/>
  <c r="BF284" s="1"/>
  <c r="BN284"/>
  <c r="BO284" s="1"/>
  <c r="BP284" s="1"/>
  <c r="BJ284"/>
  <c r="BA214"/>
  <c r="BG214" s="1"/>
  <c r="BH214" s="1"/>
  <c r="AR214"/>
  <c r="AP209"/>
  <c r="AM205"/>
  <c r="AP205" s="1"/>
  <c r="AS240"/>
  <c r="AU240" s="1"/>
  <c r="AX240" s="1"/>
  <c r="AR240"/>
  <c r="AR245"/>
  <c r="AS245"/>
  <c r="AU245" s="1"/>
  <c r="AX245" s="1"/>
  <c r="CA283"/>
  <c r="BW283"/>
  <c r="BQ283"/>
  <c r="AR239"/>
  <c r="AS239"/>
  <c r="AU239" s="1"/>
  <c r="AX239" s="1"/>
  <c r="BW276"/>
  <c r="BQ276"/>
  <c r="CA276"/>
  <c r="BL286"/>
  <c r="BL287"/>
  <c r="BL288" s="1"/>
  <c r="AP207"/>
  <c r="BW281"/>
  <c r="CA281"/>
  <c r="BQ281"/>
  <c r="AR250"/>
  <c r="AS250"/>
  <c r="AU250" s="1"/>
  <c r="AX250" s="1"/>
  <c r="BE272"/>
  <c r="BF272" s="1"/>
  <c r="BN272"/>
  <c r="BO272" s="1"/>
  <c r="BP272" s="1"/>
  <c r="BJ272"/>
  <c r="AM213"/>
  <c r="AP213" s="1"/>
  <c r="AM202"/>
  <c r="AQ202" s="1"/>
  <c r="AS202" s="1"/>
  <c r="AV202" s="1"/>
  <c r="AT248"/>
  <c r="BC248"/>
  <c r="BJ248" s="1"/>
  <c r="BK248" s="1"/>
  <c r="AX286"/>
  <c r="AX287"/>
  <c r="AX288" s="1"/>
  <c r="AX289" s="1"/>
  <c r="AM208"/>
  <c r="AQ208" s="1"/>
  <c r="AS208" s="1"/>
  <c r="AV208" s="1"/>
  <c r="AM204"/>
  <c r="AP204" s="1"/>
  <c r="AM211"/>
  <c r="AQ211" s="1"/>
  <c r="AS211" s="1"/>
  <c r="AV211" s="1"/>
  <c r="BG276"/>
  <c r="BH276" s="1"/>
  <c r="BS276"/>
  <c r="BT276" s="1"/>
  <c r="BU276" s="1"/>
  <c r="BA248"/>
  <c r="AZ248"/>
  <c r="AM212"/>
  <c r="AQ212" s="1"/>
  <c r="AS212" s="1"/>
  <c r="AV212" s="1"/>
  <c r="AM210"/>
  <c r="AQ210" s="1"/>
  <c r="AS210" s="1"/>
  <c r="AV210" s="1"/>
  <c r="AQ204"/>
  <c r="AS204" s="1"/>
  <c r="AV204" s="1"/>
  <c r="AM238"/>
  <c r="CA275"/>
  <c r="BQ275"/>
  <c r="BW275"/>
  <c r="AS247"/>
  <c r="AU247" s="1"/>
  <c r="AX247" s="1"/>
  <c r="AR247"/>
  <c r="BA206"/>
  <c r="BG206" s="1"/>
  <c r="BH206" s="1"/>
  <c r="AR206"/>
  <c r="BE277"/>
  <c r="BF277" s="1"/>
  <c r="BN277"/>
  <c r="BO277" s="1"/>
  <c r="BP277" s="1"/>
  <c r="BJ277"/>
  <c r="BS275"/>
  <c r="BT275" s="1"/>
  <c r="BU275" s="1"/>
  <c r="BG275"/>
  <c r="BH275" s="1"/>
  <c r="AS249"/>
  <c r="AU249" s="1"/>
  <c r="AX249" s="1"/>
  <c r="AR249"/>
  <c r="AP215" l="1"/>
  <c r="BA215" s="1"/>
  <c r="BG215" s="1"/>
  <c r="BH215" s="1"/>
  <c r="AQ205"/>
  <c r="AS205" s="1"/>
  <c r="AV205" s="1"/>
  <c r="AY205" s="1"/>
  <c r="AX203"/>
  <c r="AP210"/>
  <c r="BA210" s="1"/>
  <c r="BG210" s="1"/>
  <c r="BH210" s="1"/>
  <c r="AP202"/>
  <c r="BA202" s="1"/>
  <c r="BG202" s="1"/>
  <c r="BH202" s="1"/>
  <c r="AP211"/>
  <c r="BA211" s="1"/>
  <c r="BG211" s="1"/>
  <c r="BH211" s="1"/>
  <c r="AX204"/>
  <c r="AY204"/>
  <c r="AY211"/>
  <c r="AX211"/>
  <c r="AX202"/>
  <c r="AY202"/>
  <c r="BA213"/>
  <c r="BG213" s="1"/>
  <c r="BH213" s="1"/>
  <c r="AR213"/>
  <c r="AX210"/>
  <c r="AY210"/>
  <c r="AY212"/>
  <c r="AX212"/>
  <c r="AX208"/>
  <c r="AY208"/>
  <c r="AR205"/>
  <c r="BA205"/>
  <c r="BG205" s="1"/>
  <c r="BH205" s="1"/>
  <c r="BL206"/>
  <c r="BI206"/>
  <c r="BN206"/>
  <c r="CA272"/>
  <c r="BQ272"/>
  <c r="BW272"/>
  <c r="AP208"/>
  <c r="BL214"/>
  <c r="BI214"/>
  <c r="BN214"/>
  <c r="BS285"/>
  <c r="BT285" s="1"/>
  <c r="BU285" s="1"/>
  <c r="BG285"/>
  <c r="BH285" s="1"/>
  <c r="AR246"/>
  <c r="AS246"/>
  <c r="AU246" s="1"/>
  <c r="AX246" s="1"/>
  <c r="BA207"/>
  <c r="BG207" s="1"/>
  <c r="BH207" s="1"/>
  <c r="AR207"/>
  <c r="BS280"/>
  <c r="BT280" s="1"/>
  <c r="BU280" s="1"/>
  <c r="BG280"/>
  <c r="BH280" s="1"/>
  <c r="AZ247"/>
  <c r="BA247"/>
  <c r="CA285"/>
  <c r="BW285"/>
  <c r="BQ285"/>
  <c r="AR210"/>
  <c r="AS237"/>
  <c r="AU237" s="1"/>
  <c r="AX237" s="1"/>
  <c r="AR237"/>
  <c r="AT245"/>
  <c r="BC245"/>
  <c r="BJ245" s="1"/>
  <c r="BK245" s="1"/>
  <c r="BA204"/>
  <c r="BG204" s="1"/>
  <c r="BH204" s="1"/>
  <c r="AR204"/>
  <c r="BA245"/>
  <c r="AZ245"/>
  <c r="BG284"/>
  <c r="BH284" s="1"/>
  <c r="BS284"/>
  <c r="BT284" s="1"/>
  <c r="BU284" s="1"/>
  <c r="BC244"/>
  <c r="BJ244" s="1"/>
  <c r="BK244" s="1"/>
  <c r="AT244"/>
  <c r="AS241"/>
  <c r="AU241" s="1"/>
  <c r="AX241" s="1"/>
  <c r="AR241"/>
  <c r="CA277"/>
  <c r="BQ277"/>
  <c r="BW277"/>
  <c r="AT240"/>
  <c r="BC240"/>
  <c r="BJ240" s="1"/>
  <c r="BK240" s="1"/>
  <c r="BQ282"/>
  <c r="BW282"/>
  <c r="CA282"/>
  <c r="BG273"/>
  <c r="BH273" s="1"/>
  <c r="BS273"/>
  <c r="BT273" s="1"/>
  <c r="BU273" s="1"/>
  <c r="AT249"/>
  <c r="BC249"/>
  <c r="BJ249" s="1"/>
  <c r="BK249" s="1"/>
  <c r="BS277"/>
  <c r="BT277" s="1"/>
  <c r="BU277" s="1"/>
  <c r="BG277"/>
  <c r="BH277" s="1"/>
  <c r="AS238"/>
  <c r="AU238" s="1"/>
  <c r="AX238" s="1"/>
  <c r="AR238"/>
  <c r="AP212"/>
  <c r="AR215"/>
  <c r="BA239"/>
  <c r="AZ239"/>
  <c r="AZ240"/>
  <c r="BA240"/>
  <c r="AQ213"/>
  <c r="AS213" s="1"/>
  <c r="AV213" s="1"/>
  <c r="BS282"/>
  <c r="BT282" s="1"/>
  <c r="BU282" s="1"/>
  <c r="BG282"/>
  <c r="BH282" s="1"/>
  <c r="AR242"/>
  <c r="AS242"/>
  <c r="AU242" s="1"/>
  <c r="AX242" s="1"/>
  <c r="BL248"/>
  <c r="BO248"/>
  <c r="BQ248"/>
  <c r="AR211"/>
  <c r="AS243"/>
  <c r="AU243" s="1"/>
  <c r="AX243" s="1"/>
  <c r="AR243"/>
  <c r="BC247"/>
  <c r="BJ247" s="1"/>
  <c r="BK247" s="1"/>
  <c r="AT247"/>
  <c r="BS272"/>
  <c r="BT272" s="1"/>
  <c r="BU272" s="1"/>
  <c r="BG272"/>
  <c r="BH272" s="1"/>
  <c r="BA250"/>
  <c r="AZ250"/>
  <c r="BQ284"/>
  <c r="BW284"/>
  <c r="CA284"/>
  <c r="BC250"/>
  <c r="BJ250" s="1"/>
  <c r="BK250" s="1"/>
  <c r="AT250"/>
  <c r="CA273"/>
  <c r="BW273"/>
  <c r="BQ273"/>
  <c r="AR209"/>
  <c r="BA209"/>
  <c r="BG209" s="1"/>
  <c r="BH209" s="1"/>
  <c r="AX215"/>
  <c r="AY215"/>
  <c r="BA244"/>
  <c r="AZ244"/>
  <c r="BA249"/>
  <c r="AZ249"/>
  <c r="BC239"/>
  <c r="BJ239" s="1"/>
  <c r="BK239" s="1"/>
  <c r="AT239"/>
  <c r="CA280"/>
  <c r="BQ280"/>
  <c r="BW280"/>
  <c r="BL203"/>
  <c r="BI203"/>
  <c r="BN203"/>
  <c r="AX205" l="1"/>
  <c r="AR202"/>
  <c r="BC243"/>
  <c r="BJ243" s="1"/>
  <c r="BK243" s="1"/>
  <c r="AT243"/>
  <c r="BI202"/>
  <c r="BL202"/>
  <c r="BN202"/>
  <c r="BL250"/>
  <c r="BO250"/>
  <c r="BQ250"/>
  <c r="BL240"/>
  <c r="BO240"/>
  <c r="BQ240"/>
  <c r="BO244"/>
  <c r="BL244"/>
  <c r="BQ244"/>
  <c r="BL205"/>
  <c r="BI205"/>
  <c r="BN205"/>
  <c r="BL247"/>
  <c r="BO247"/>
  <c r="BQ247"/>
  <c r="BA242"/>
  <c r="AZ242"/>
  <c r="BL249"/>
  <c r="BO249"/>
  <c r="BQ249"/>
  <c r="AT237"/>
  <c r="BC237"/>
  <c r="BJ237" s="1"/>
  <c r="BK237" s="1"/>
  <c r="BI207"/>
  <c r="BL207"/>
  <c r="BN207"/>
  <c r="AR208"/>
  <c r="BA208"/>
  <c r="BG208" s="1"/>
  <c r="BH208" s="1"/>
  <c r="BL213"/>
  <c r="BI213"/>
  <c r="BN213"/>
  <c r="BI209"/>
  <c r="BL209"/>
  <c r="BN209"/>
  <c r="BC242"/>
  <c r="BJ242" s="1"/>
  <c r="BK242" s="1"/>
  <c r="AT242"/>
  <c r="BO239"/>
  <c r="BL239"/>
  <c r="BQ239"/>
  <c r="BL215"/>
  <c r="BI215"/>
  <c r="BN215"/>
  <c r="AT246"/>
  <c r="BC246"/>
  <c r="BJ246" s="1"/>
  <c r="BK246" s="1"/>
  <c r="BL211"/>
  <c r="BI211"/>
  <c r="BN211"/>
  <c r="BA212"/>
  <c r="BG212" s="1"/>
  <c r="BH212" s="1"/>
  <c r="AR212"/>
  <c r="AT238"/>
  <c r="BC238"/>
  <c r="BJ238" s="1"/>
  <c r="BK238" s="1"/>
  <c r="BA238"/>
  <c r="AZ238"/>
  <c r="BL204"/>
  <c r="BI204"/>
  <c r="BN204"/>
  <c r="BI210"/>
  <c r="BL210"/>
  <c r="BN210"/>
  <c r="AZ237"/>
  <c r="BA237"/>
  <c r="AZ246"/>
  <c r="BA246"/>
  <c r="AZ243"/>
  <c r="BA243"/>
  <c r="AY213"/>
  <c r="AX213"/>
  <c r="BC241"/>
  <c r="BJ241" s="1"/>
  <c r="BK241" s="1"/>
  <c r="AT241"/>
  <c r="AZ241"/>
  <c r="BA241"/>
  <c r="BO245"/>
  <c r="BL245"/>
  <c r="BQ245"/>
  <c r="BO243" l="1"/>
  <c r="BQ243"/>
  <c r="BL243"/>
  <c r="BL241"/>
  <c r="BO241"/>
  <c r="BQ241"/>
  <c r="BL246"/>
  <c r="BO246"/>
  <c r="BQ246"/>
  <c r="BL208"/>
  <c r="BI208"/>
  <c r="BN208"/>
  <c r="BO238"/>
  <c r="BL238"/>
  <c r="BQ238"/>
  <c r="BL242"/>
  <c r="BO242"/>
  <c r="BQ242"/>
  <c r="BI212"/>
  <c r="BI217" s="1"/>
  <c r="BI218" s="1"/>
  <c r="BI219" s="1"/>
  <c r="BL212"/>
  <c r="BN212"/>
  <c r="BO237"/>
  <c r="BL237"/>
  <c r="BQ237"/>
  <c r="BN216" l="1"/>
  <c r="BN217"/>
  <c r="BN218" s="1"/>
  <c r="BQ251"/>
  <c r="BQ252"/>
  <c r="BQ253" s="1"/>
  <c r="BI216"/>
  <c r="BL252"/>
  <c r="BL253" s="1"/>
  <c r="BL254" s="1"/>
  <c r="BL251"/>
  <c r="O160" l="1"/>
  <c r="L160"/>
  <c r="K160"/>
  <c r="I160"/>
  <c r="D160"/>
  <c r="E160" s="1"/>
  <c r="F160" s="1"/>
  <c r="N160" s="1"/>
  <c r="C160"/>
  <c r="G160" s="1"/>
  <c r="M160" s="1"/>
  <c r="O159"/>
  <c r="L159"/>
  <c r="K159"/>
  <c r="E159"/>
  <c r="F159" s="1"/>
  <c r="I159" s="1"/>
  <c r="D159"/>
  <c r="C159"/>
  <c r="O158"/>
  <c r="L158"/>
  <c r="K158"/>
  <c r="D158"/>
  <c r="E158" s="1"/>
  <c r="F158" s="1"/>
  <c r="C158"/>
  <c r="O157"/>
  <c r="L157"/>
  <c r="K157"/>
  <c r="I157"/>
  <c r="D157"/>
  <c r="E157" s="1"/>
  <c r="F157" s="1"/>
  <c r="N157" s="1"/>
  <c r="C157"/>
  <c r="O156"/>
  <c r="L156"/>
  <c r="K156"/>
  <c r="D156"/>
  <c r="E156" s="1"/>
  <c r="F156" s="1"/>
  <c r="C156"/>
  <c r="O155"/>
  <c r="L155"/>
  <c r="K155"/>
  <c r="D155"/>
  <c r="E155" s="1"/>
  <c r="F155" s="1"/>
  <c r="N155" s="1"/>
  <c r="C155"/>
  <c r="G155" s="1"/>
  <c r="O154"/>
  <c r="L154"/>
  <c r="K154"/>
  <c r="D154"/>
  <c r="E154" s="1"/>
  <c r="F154" s="1"/>
  <c r="I154" s="1"/>
  <c r="C154"/>
  <c r="O153"/>
  <c r="L153"/>
  <c r="K153"/>
  <c r="D153"/>
  <c r="E153" s="1"/>
  <c r="F153" s="1"/>
  <c r="C153"/>
  <c r="O152"/>
  <c r="L152"/>
  <c r="K152"/>
  <c r="I152"/>
  <c r="D152"/>
  <c r="E152" s="1"/>
  <c r="F152" s="1"/>
  <c r="N152" s="1"/>
  <c r="C152"/>
  <c r="O151"/>
  <c r="L151"/>
  <c r="K151"/>
  <c r="E151"/>
  <c r="F151" s="1"/>
  <c r="I151" s="1"/>
  <c r="D151"/>
  <c r="C151"/>
  <c r="G151" s="1"/>
  <c r="M151" s="1"/>
  <c r="O150"/>
  <c r="L150"/>
  <c r="K150"/>
  <c r="D150"/>
  <c r="E150" s="1"/>
  <c r="F150" s="1"/>
  <c r="C150"/>
  <c r="O149"/>
  <c r="L149"/>
  <c r="K149"/>
  <c r="D149"/>
  <c r="E149" s="1"/>
  <c r="F149" s="1"/>
  <c r="N149" s="1"/>
  <c r="C149"/>
  <c r="O148"/>
  <c r="L148"/>
  <c r="K148"/>
  <c r="D148"/>
  <c r="E148" s="1"/>
  <c r="F148" s="1"/>
  <c r="C148"/>
  <c r="O147"/>
  <c r="L147"/>
  <c r="K147"/>
  <c r="D147"/>
  <c r="E147" s="1"/>
  <c r="F147" s="1"/>
  <c r="N147" s="1"/>
  <c r="C147"/>
  <c r="G147" s="1"/>
  <c r="O146"/>
  <c r="L146"/>
  <c r="K146"/>
  <c r="D146"/>
  <c r="E146" s="1"/>
  <c r="F146" s="1"/>
  <c r="I146" s="1"/>
  <c r="C146"/>
  <c r="O145"/>
  <c r="L145"/>
  <c r="K145"/>
  <c r="D145"/>
  <c r="E145" s="1"/>
  <c r="F145" s="1"/>
  <c r="C145"/>
  <c r="O144"/>
  <c r="L144"/>
  <c r="K144"/>
  <c r="D144"/>
  <c r="E144" s="1"/>
  <c r="F144" s="1"/>
  <c r="N144" s="1"/>
  <c r="C144"/>
  <c r="O143"/>
  <c r="L143"/>
  <c r="K143"/>
  <c r="E143"/>
  <c r="F143" s="1"/>
  <c r="D143"/>
  <c r="C143"/>
  <c r="O142"/>
  <c r="L142"/>
  <c r="K142"/>
  <c r="D142"/>
  <c r="E142" s="1"/>
  <c r="F142" s="1"/>
  <c r="C142"/>
  <c r="O141"/>
  <c r="L141"/>
  <c r="K141"/>
  <c r="D141"/>
  <c r="E141" s="1"/>
  <c r="F141" s="1"/>
  <c r="N141" s="1"/>
  <c r="C141"/>
  <c r="O140"/>
  <c r="L140"/>
  <c r="K140"/>
  <c r="E140"/>
  <c r="F140" s="1"/>
  <c r="D140"/>
  <c r="C140"/>
  <c r="O139"/>
  <c r="L139"/>
  <c r="K139"/>
  <c r="D139"/>
  <c r="E139" s="1"/>
  <c r="F139" s="1"/>
  <c r="N139" s="1"/>
  <c r="C139"/>
  <c r="O138"/>
  <c r="L138"/>
  <c r="K138"/>
  <c r="D138"/>
  <c r="E138" s="1"/>
  <c r="F138" s="1"/>
  <c r="C138"/>
  <c r="O137"/>
  <c r="L137"/>
  <c r="K137"/>
  <c r="D137"/>
  <c r="E137" s="1"/>
  <c r="F137" s="1"/>
  <c r="I137" s="1"/>
  <c r="C137"/>
  <c r="O136"/>
  <c r="L136"/>
  <c r="K136"/>
  <c r="I136"/>
  <c r="D136"/>
  <c r="E136" s="1"/>
  <c r="F136" s="1"/>
  <c r="N136" s="1"/>
  <c r="C136"/>
  <c r="G136" s="1"/>
  <c r="M136" s="1"/>
  <c r="O135"/>
  <c r="L135"/>
  <c r="K135"/>
  <c r="D135"/>
  <c r="E135" s="1"/>
  <c r="F135" s="1"/>
  <c r="C135"/>
  <c r="O134"/>
  <c r="L134"/>
  <c r="K134"/>
  <c r="D134"/>
  <c r="E134" s="1"/>
  <c r="F134" s="1"/>
  <c r="C134"/>
  <c r="O133"/>
  <c r="L133"/>
  <c r="K133"/>
  <c r="D133"/>
  <c r="E133" s="1"/>
  <c r="F133" s="1"/>
  <c r="N133" s="1"/>
  <c r="C133"/>
  <c r="O132"/>
  <c r="L132"/>
  <c r="K132"/>
  <c r="D132"/>
  <c r="E132" s="1"/>
  <c r="F132" s="1"/>
  <c r="C132"/>
  <c r="O131"/>
  <c r="L131"/>
  <c r="K131"/>
  <c r="I131"/>
  <c r="D131"/>
  <c r="E131" s="1"/>
  <c r="F131" s="1"/>
  <c r="N131" s="1"/>
  <c r="C131"/>
  <c r="G131" s="1"/>
  <c r="O130"/>
  <c r="L130"/>
  <c r="K130"/>
  <c r="E130"/>
  <c r="F130" s="1"/>
  <c r="D130"/>
  <c r="C130"/>
  <c r="O129"/>
  <c r="L129"/>
  <c r="K129"/>
  <c r="D129"/>
  <c r="E129" s="1"/>
  <c r="F129" s="1"/>
  <c r="C129"/>
  <c r="O128"/>
  <c r="L128"/>
  <c r="K128"/>
  <c r="E128"/>
  <c r="F128" s="1"/>
  <c r="N128" s="1"/>
  <c r="D128"/>
  <c r="C128"/>
  <c r="O127"/>
  <c r="L127"/>
  <c r="K127"/>
  <c r="D127"/>
  <c r="E127" s="1"/>
  <c r="F127" s="1"/>
  <c r="C127"/>
  <c r="O126"/>
  <c r="L126"/>
  <c r="K126"/>
  <c r="E126"/>
  <c r="F126" s="1"/>
  <c r="D126"/>
  <c r="C126"/>
  <c r="O125"/>
  <c r="L125"/>
  <c r="K125"/>
  <c r="D125"/>
  <c r="E125" s="1"/>
  <c r="F125" s="1"/>
  <c r="N125" s="1"/>
  <c r="C125"/>
  <c r="O124"/>
  <c r="L124"/>
  <c r="K124"/>
  <c r="D124"/>
  <c r="E124" s="1"/>
  <c r="F124" s="1"/>
  <c r="I124" s="1"/>
  <c r="C124"/>
  <c r="O123"/>
  <c r="L123"/>
  <c r="K123"/>
  <c r="D123"/>
  <c r="E123" s="1"/>
  <c r="F123" s="1"/>
  <c r="N123" s="1"/>
  <c r="C123"/>
  <c r="O122"/>
  <c r="L122"/>
  <c r="K122"/>
  <c r="D122"/>
  <c r="E122" s="1"/>
  <c r="F122" s="1"/>
  <c r="C122"/>
  <c r="G122" s="1"/>
  <c r="O121"/>
  <c r="L121"/>
  <c r="K121"/>
  <c r="D121"/>
  <c r="E121" s="1"/>
  <c r="F121" s="1"/>
  <c r="C121"/>
  <c r="O120"/>
  <c r="L120"/>
  <c r="K120"/>
  <c r="D120"/>
  <c r="E120" s="1"/>
  <c r="F120" s="1"/>
  <c r="N120" s="1"/>
  <c r="C120"/>
  <c r="O119"/>
  <c r="L119"/>
  <c r="K119"/>
  <c r="D119"/>
  <c r="E119" s="1"/>
  <c r="F119" s="1"/>
  <c r="C119"/>
  <c r="O118"/>
  <c r="L118"/>
  <c r="K118"/>
  <c r="D118"/>
  <c r="E118" s="1"/>
  <c r="F118" s="1"/>
  <c r="C118"/>
  <c r="O117"/>
  <c r="L117"/>
  <c r="K117"/>
  <c r="E117"/>
  <c r="F117" s="1"/>
  <c r="D117"/>
  <c r="C117"/>
  <c r="O116"/>
  <c r="L116"/>
  <c r="K116"/>
  <c r="D116"/>
  <c r="E116" s="1"/>
  <c r="F116" s="1"/>
  <c r="C116"/>
  <c r="O115"/>
  <c r="L115"/>
  <c r="K115"/>
  <c r="D115"/>
  <c r="E115" s="1"/>
  <c r="F115" s="1"/>
  <c r="N115" s="1"/>
  <c r="C115"/>
  <c r="G115" s="1"/>
  <c r="O114"/>
  <c r="L114"/>
  <c r="K114"/>
  <c r="D114"/>
  <c r="E114" s="1"/>
  <c r="F114" s="1"/>
  <c r="G114" s="1"/>
  <c r="C114"/>
  <c r="O113"/>
  <c r="L113"/>
  <c r="K113"/>
  <c r="D113"/>
  <c r="E113" s="1"/>
  <c r="F113" s="1"/>
  <c r="C113"/>
  <c r="O112"/>
  <c r="L112"/>
  <c r="K112"/>
  <c r="D112"/>
  <c r="E112" s="1"/>
  <c r="F112" s="1"/>
  <c r="N112" s="1"/>
  <c r="C112"/>
  <c r="O111"/>
  <c r="L111"/>
  <c r="K111"/>
  <c r="D111"/>
  <c r="E111" s="1"/>
  <c r="F111" s="1"/>
  <c r="C111"/>
  <c r="O110"/>
  <c r="L110"/>
  <c r="K110"/>
  <c r="D110"/>
  <c r="E110" s="1"/>
  <c r="F110" s="1"/>
  <c r="C110"/>
  <c r="O109"/>
  <c r="L109"/>
  <c r="K109"/>
  <c r="D109"/>
  <c r="E109" s="1"/>
  <c r="F109" s="1"/>
  <c r="N109" s="1"/>
  <c r="C109"/>
  <c r="O108"/>
  <c r="L108"/>
  <c r="K108"/>
  <c r="D108"/>
  <c r="E108" s="1"/>
  <c r="F108" s="1"/>
  <c r="C108"/>
  <c r="O107"/>
  <c r="L107"/>
  <c r="K107"/>
  <c r="D107"/>
  <c r="E107" s="1"/>
  <c r="F107" s="1"/>
  <c r="C107"/>
  <c r="O106"/>
  <c r="L106"/>
  <c r="K106"/>
  <c r="E106"/>
  <c r="F106" s="1"/>
  <c r="I106" s="1"/>
  <c r="D106"/>
  <c r="C106"/>
  <c r="O105"/>
  <c r="L105"/>
  <c r="K105"/>
  <c r="D105"/>
  <c r="E105" s="1"/>
  <c r="F105" s="1"/>
  <c r="N105" s="1"/>
  <c r="C105"/>
  <c r="O104"/>
  <c r="L104"/>
  <c r="K104"/>
  <c r="D104"/>
  <c r="E104" s="1"/>
  <c r="F104" s="1"/>
  <c r="C104"/>
  <c r="O103"/>
  <c r="L103"/>
  <c r="K103"/>
  <c r="D103"/>
  <c r="E103" s="1"/>
  <c r="F103" s="1"/>
  <c r="N103" s="1"/>
  <c r="C103"/>
  <c r="G103" s="1"/>
  <c r="H103" s="1"/>
  <c r="J103" s="1"/>
  <c r="O102"/>
  <c r="L102"/>
  <c r="K102"/>
  <c r="D102"/>
  <c r="E102" s="1"/>
  <c r="F102" s="1"/>
  <c r="C102"/>
  <c r="O101"/>
  <c r="L101"/>
  <c r="K101"/>
  <c r="D101"/>
  <c r="E101" s="1"/>
  <c r="F101" s="1"/>
  <c r="N101" s="1"/>
  <c r="C101"/>
  <c r="G101" s="1"/>
  <c r="H101" s="1"/>
  <c r="J101" s="1"/>
  <c r="O100"/>
  <c r="L100"/>
  <c r="K100"/>
  <c r="D100"/>
  <c r="E100" s="1"/>
  <c r="F100" s="1"/>
  <c r="C100"/>
  <c r="O99"/>
  <c r="L99"/>
  <c r="K99"/>
  <c r="D99"/>
  <c r="E99" s="1"/>
  <c r="F99" s="1"/>
  <c r="N99" s="1"/>
  <c r="C99"/>
  <c r="G99" s="1"/>
  <c r="H99" s="1"/>
  <c r="J99" s="1"/>
  <c r="O98"/>
  <c r="L98"/>
  <c r="K98"/>
  <c r="D98"/>
  <c r="E98" s="1"/>
  <c r="F98" s="1"/>
  <c r="C98"/>
  <c r="O97"/>
  <c r="L97"/>
  <c r="K97"/>
  <c r="D97"/>
  <c r="E97" s="1"/>
  <c r="F97" s="1"/>
  <c r="N97" s="1"/>
  <c r="C97"/>
  <c r="O96"/>
  <c r="L96"/>
  <c r="K96"/>
  <c r="D96"/>
  <c r="E96" s="1"/>
  <c r="F96" s="1"/>
  <c r="C96"/>
  <c r="O95"/>
  <c r="L95"/>
  <c r="K95"/>
  <c r="I95"/>
  <c r="D95"/>
  <c r="E95" s="1"/>
  <c r="F95" s="1"/>
  <c r="N95" s="1"/>
  <c r="C95"/>
  <c r="G95" s="1"/>
  <c r="H95" s="1"/>
  <c r="J95" s="1"/>
  <c r="O94"/>
  <c r="L94"/>
  <c r="K94"/>
  <c r="D94"/>
  <c r="E94" s="1"/>
  <c r="F94" s="1"/>
  <c r="C94"/>
  <c r="O93"/>
  <c r="L93"/>
  <c r="K93"/>
  <c r="I93"/>
  <c r="D93"/>
  <c r="E93" s="1"/>
  <c r="F93" s="1"/>
  <c r="N93" s="1"/>
  <c r="C93"/>
  <c r="O92"/>
  <c r="L92"/>
  <c r="K92"/>
  <c r="D92"/>
  <c r="E92" s="1"/>
  <c r="F92" s="1"/>
  <c r="C92"/>
  <c r="O91"/>
  <c r="L91"/>
  <c r="K91"/>
  <c r="D91"/>
  <c r="E91" s="1"/>
  <c r="F91" s="1"/>
  <c r="N91" s="1"/>
  <c r="C91"/>
  <c r="O90"/>
  <c r="L90"/>
  <c r="K90"/>
  <c r="D90"/>
  <c r="E90" s="1"/>
  <c r="F90" s="1"/>
  <c r="I90" s="1"/>
  <c r="C90"/>
  <c r="O89"/>
  <c r="L89"/>
  <c r="K89"/>
  <c r="I89"/>
  <c r="D89"/>
  <c r="E89" s="1"/>
  <c r="F89" s="1"/>
  <c r="N89" s="1"/>
  <c r="C89"/>
  <c r="G89" s="1"/>
  <c r="H89" s="1"/>
  <c r="J89" s="1"/>
  <c r="O88"/>
  <c r="L88"/>
  <c r="K88"/>
  <c r="D88"/>
  <c r="E88" s="1"/>
  <c r="F88" s="1"/>
  <c r="C88"/>
  <c r="O87"/>
  <c r="L87"/>
  <c r="K87"/>
  <c r="I87"/>
  <c r="D87"/>
  <c r="E87" s="1"/>
  <c r="F87" s="1"/>
  <c r="N87" s="1"/>
  <c r="C87"/>
  <c r="G87" s="1"/>
  <c r="H87" s="1"/>
  <c r="J87" s="1"/>
  <c r="O86"/>
  <c r="L86"/>
  <c r="K86"/>
  <c r="D86"/>
  <c r="E86" s="1"/>
  <c r="F86" s="1"/>
  <c r="C86"/>
  <c r="O85"/>
  <c r="L85"/>
  <c r="K85"/>
  <c r="D85"/>
  <c r="E85" s="1"/>
  <c r="F85" s="1"/>
  <c r="N85" s="1"/>
  <c r="C85"/>
  <c r="G85" s="1"/>
  <c r="H85" s="1"/>
  <c r="J85" s="1"/>
  <c r="O84"/>
  <c r="L84"/>
  <c r="K84"/>
  <c r="D84"/>
  <c r="E84" s="1"/>
  <c r="F84" s="1"/>
  <c r="C84"/>
  <c r="N80"/>
  <c r="L80"/>
  <c r="K80"/>
  <c r="I80"/>
  <c r="G80"/>
  <c r="H80" s="1"/>
  <c r="J80" s="1"/>
  <c r="D80"/>
  <c r="E80" s="1"/>
  <c r="F80" s="1"/>
  <c r="M80" s="1"/>
  <c r="C80"/>
  <c r="N79"/>
  <c r="L79"/>
  <c r="K79"/>
  <c r="E79"/>
  <c r="F79" s="1"/>
  <c r="D79"/>
  <c r="C79"/>
  <c r="N78"/>
  <c r="L78"/>
  <c r="K78"/>
  <c r="J78"/>
  <c r="I78"/>
  <c r="G78"/>
  <c r="H78" s="1"/>
  <c r="D78"/>
  <c r="E78" s="1"/>
  <c r="F78" s="1"/>
  <c r="M78" s="1"/>
  <c r="C78"/>
  <c r="N77"/>
  <c r="L77"/>
  <c r="K77"/>
  <c r="E77"/>
  <c r="F77" s="1"/>
  <c r="D77"/>
  <c r="C77"/>
  <c r="G77" s="1"/>
  <c r="H77" s="1"/>
  <c r="J77" s="1"/>
  <c r="N76"/>
  <c r="L76"/>
  <c r="K76"/>
  <c r="D76"/>
  <c r="E76" s="1"/>
  <c r="F76" s="1"/>
  <c r="M76" s="1"/>
  <c r="C76"/>
  <c r="G76" s="1"/>
  <c r="H76" s="1"/>
  <c r="J76" s="1"/>
  <c r="N75"/>
  <c r="L75"/>
  <c r="K75"/>
  <c r="E75"/>
  <c r="F75" s="1"/>
  <c r="D75"/>
  <c r="C75"/>
  <c r="G75" s="1"/>
  <c r="H75" s="1"/>
  <c r="J75" s="1"/>
  <c r="N74"/>
  <c r="L74"/>
  <c r="K74"/>
  <c r="D74"/>
  <c r="E74" s="1"/>
  <c r="F74" s="1"/>
  <c r="M74" s="1"/>
  <c r="C74"/>
  <c r="G74" s="1"/>
  <c r="H74" s="1"/>
  <c r="J74" s="1"/>
  <c r="N73"/>
  <c r="L73"/>
  <c r="K73"/>
  <c r="E73"/>
  <c r="F73" s="1"/>
  <c r="D73"/>
  <c r="C73"/>
  <c r="N72"/>
  <c r="L72"/>
  <c r="K72"/>
  <c r="I72"/>
  <c r="G72"/>
  <c r="H72" s="1"/>
  <c r="J72" s="1"/>
  <c r="D72"/>
  <c r="E72" s="1"/>
  <c r="F72" s="1"/>
  <c r="M72" s="1"/>
  <c r="C72"/>
  <c r="N71"/>
  <c r="L71"/>
  <c r="K71"/>
  <c r="E71"/>
  <c r="F71" s="1"/>
  <c r="D71"/>
  <c r="C71"/>
  <c r="N70"/>
  <c r="L70"/>
  <c r="K70"/>
  <c r="J70"/>
  <c r="I70"/>
  <c r="G70"/>
  <c r="H70" s="1"/>
  <c r="D70"/>
  <c r="E70" s="1"/>
  <c r="F70" s="1"/>
  <c r="M70" s="1"/>
  <c r="C70"/>
  <c r="N69"/>
  <c r="L69"/>
  <c r="K69"/>
  <c r="E69"/>
  <c r="F69" s="1"/>
  <c r="D69"/>
  <c r="C69"/>
  <c r="G69" s="1"/>
  <c r="H69" s="1"/>
  <c r="J69" s="1"/>
  <c r="N68"/>
  <c r="L68"/>
  <c r="K68"/>
  <c r="D68"/>
  <c r="E68" s="1"/>
  <c r="F68" s="1"/>
  <c r="M68" s="1"/>
  <c r="C68"/>
  <c r="G68" s="1"/>
  <c r="H68" s="1"/>
  <c r="J68" s="1"/>
  <c r="N67"/>
  <c r="L67"/>
  <c r="K67"/>
  <c r="E67"/>
  <c r="F67" s="1"/>
  <c r="D67"/>
  <c r="C67"/>
  <c r="N66"/>
  <c r="L66"/>
  <c r="K66"/>
  <c r="D66"/>
  <c r="E66" s="1"/>
  <c r="F66" s="1"/>
  <c r="M66" s="1"/>
  <c r="C66"/>
  <c r="G66" s="1"/>
  <c r="H66" s="1"/>
  <c r="J66" s="1"/>
  <c r="N65"/>
  <c r="L65"/>
  <c r="K65"/>
  <c r="E65"/>
  <c r="F65" s="1"/>
  <c r="D65"/>
  <c r="C65"/>
  <c r="N64"/>
  <c r="L64"/>
  <c r="K64"/>
  <c r="I64"/>
  <c r="G64"/>
  <c r="H64" s="1"/>
  <c r="J64" s="1"/>
  <c r="D64"/>
  <c r="E64" s="1"/>
  <c r="F64" s="1"/>
  <c r="M64" s="1"/>
  <c r="C64"/>
  <c r="N63"/>
  <c r="L63"/>
  <c r="K63"/>
  <c r="E63"/>
  <c r="F63" s="1"/>
  <c r="D63"/>
  <c r="C63"/>
  <c r="N62"/>
  <c r="L62"/>
  <c r="K62"/>
  <c r="J62"/>
  <c r="I62"/>
  <c r="G62"/>
  <c r="H62" s="1"/>
  <c r="D62"/>
  <c r="E62" s="1"/>
  <c r="F62" s="1"/>
  <c r="M62" s="1"/>
  <c r="C62"/>
  <c r="N61"/>
  <c r="L61"/>
  <c r="K61"/>
  <c r="E61"/>
  <c r="F61" s="1"/>
  <c r="D61"/>
  <c r="C61"/>
  <c r="G61" s="1"/>
  <c r="H61" s="1"/>
  <c r="J61" s="1"/>
  <c r="N60"/>
  <c r="L60"/>
  <c r="K60"/>
  <c r="D60"/>
  <c r="E60" s="1"/>
  <c r="F60" s="1"/>
  <c r="M60" s="1"/>
  <c r="C60"/>
  <c r="G60" s="1"/>
  <c r="H60" s="1"/>
  <c r="J60" s="1"/>
  <c r="N59"/>
  <c r="L59"/>
  <c r="K59"/>
  <c r="E59"/>
  <c r="F59" s="1"/>
  <c r="D59"/>
  <c r="C59"/>
  <c r="N58"/>
  <c r="L58"/>
  <c r="K58"/>
  <c r="D58"/>
  <c r="E58" s="1"/>
  <c r="F58" s="1"/>
  <c r="M58" s="1"/>
  <c r="C58"/>
  <c r="G58" s="1"/>
  <c r="H58" s="1"/>
  <c r="J58" s="1"/>
  <c r="N57"/>
  <c r="L57"/>
  <c r="K57"/>
  <c r="E57"/>
  <c r="F57" s="1"/>
  <c r="D57"/>
  <c r="C57"/>
  <c r="N56"/>
  <c r="L56"/>
  <c r="K56"/>
  <c r="I56"/>
  <c r="G56"/>
  <c r="H56" s="1"/>
  <c r="J56" s="1"/>
  <c r="D56"/>
  <c r="E56" s="1"/>
  <c r="F56" s="1"/>
  <c r="M56" s="1"/>
  <c r="C56"/>
  <c r="N55"/>
  <c r="L55"/>
  <c r="K55"/>
  <c r="E55"/>
  <c r="F55" s="1"/>
  <c r="D55"/>
  <c r="C55"/>
  <c r="N54"/>
  <c r="L54"/>
  <c r="K54"/>
  <c r="J54"/>
  <c r="I54"/>
  <c r="G54"/>
  <c r="H54" s="1"/>
  <c r="D54"/>
  <c r="E54" s="1"/>
  <c r="F54" s="1"/>
  <c r="M54" s="1"/>
  <c r="C54"/>
  <c r="N53"/>
  <c r="L53"/>
  <c r="K53"/>
  <c r="E53"/>
  <c r="F53" s="1"/>
  <c r="D53"/>
  <c r="C53"/>
  <c r="G53" s="1"/>
  <c r="H53" s="1"/>
  <c r="J53" s="1"/>
  <c r="N52"/>
  <c r="L52"/>
  <c r="K52"/>
  <c r="D52"/>
  <c r="E52" s="1"/>
  <c r="F52" s="1"/>
  <c r="M52" s="1"/>
  <c r="C52"/>
  <c r="G52" s="1"/>
  <c r="H52" s="1"/>
  <c r="J52" s="1"/>
  <c r="N51"/>
  <c r="L51"/>
  <c r="K51"/>
  <c r="E51"/>
  <c r="F51" s="1"/>
  <c r="D51"/>
  <c r="C51"/>
  <c r="N50"/>
  <c r="L50"/>
  <c r="K50"/>
  <c r="D50"/>
  <c r="E50" s="1"/>
  <c r="F50" s="1"/>
  <c r="M50" s="1"/>
  <c r="C50"/>
  <c r="G50" s="1"/>
  <c r="H50" s="1"/>
  <c r="J50" s="1"/>
  <c r="N49"/>
  <c r="L49"/>
  <c r="K49"/>
  <c r="E49"/>
  <c r="F49" s="1"/>
  <c r="D49"/>
  <c r="C49"/>
  <c r="G49" s="1"/>
  <c r="H49" s="1"/>
  <c r="J49" s="1"/>
  <c r="N48"/>
  <c r="L48"/>
  <c r="K48"/>
  <c r="I48"/>
  <c r="G48"/>
  <c r="H48" s="1"/>
  <c r="J48" s="1"/>
  <c r="D48"/>
  <c r="E48" s="1"/>
  <c r="F48" s="1"/>
  <c r="M48" s="1"/>
  <c r="C48"/>
  <c r="N47"/>
  <c r="L47"/>
  <c r="K47"/>
  <c r="E47"/>
  <c r="F47" s="1"/>
  <c r="D47"/>
  <c r="C47"/>
  <c r="N46"/>
  <c r="L46"/>
  <c r="K46"/>
  <c r="J46"/>
  <c r="I46"/>
  <c r="G46"/>
  <c r="H46" s="1"/>
  <c r="D46"/>
  <c r="E46" s="1"/>
  <c r="F46" s="1"/>
  <c r="M46" s="1"/>
  <c r="C46"/>
  <c r="N45"/>
  <c r="L45"/>
  <c r="K45"/>
  <c r="E45"/>
  <c r="F45" s="1"/>
  <c r="D45"/>
  <c r="C45"/>
  <c r="N44"/>
  <c r="L44"/>
  <c r="K44"/>
  <c r="D44"/>
  <c r="E44" s="1"/>
  <c r="F44" s="1"/>
  <c r="M44" s="1"/>
  <c r="C44"/>
  <c r="G44" s="1"/>
  <c r="H44" s="1"/>
  <c r="J44" s="1"/>
  <c r="N43"/>
  <c r="L43"/>
  <c r="K43"/>
  <c r="E43"/>
  <c r="F43" s="1"/>
  <c r="D43"/>
  <c r="C43"/>
  <c r="N42"/>
  <c r="L42"/>
  <c r="K42"/>
  <c r="D42"/>
  <c r="E42" s="1"/>
  <c r="F42" s="1"/>
  <c r="M42" s="1"/>
  <c r="C42"/>
  <c r="G42" s="1"/>
  <c r="H42" s="1"/>
  <c r="J42" s="1"/>
  <c r="N41"/>
  <c r="L41"/>
  <c r="K41"/>
  <c r="E41"/>
  <c r="F41" s="1"/>
  <c r="D41"/>
  <c r="C41"/>
  <c r="G41" s="1"/>
  <c r="H41" s="1"/>
  <c r="J41" s="1"/>
  <c r="N40"/>
  <c r="L40"/>
  <c r="K40"/>
  <c r="I40"/>
  <c r="G40"/>
  <c r="H40" s="1"/>
  <c r="J40" s="1"/>
  <c r="D40"/>
  <c r="E40" s="1"/>
  <c r="F40" s="1"/>
  <c r="M40" s="1"/>
  <c r="C40"/>
  <c r="N39"/>
  <c r="L39"/>
  <c r="K39"/>
  <c r="G39"/>
  <c r="H39" s="1"/>
  <c r="J39" s="1"/>
  <c r="E39"/>
  <c r="F39" s="1"/>
  <c r="D39"/>
  <c r="C39"/>
  <c r="N38"/>
  <c r="L38"/>
  <c r="K38"/>
  <c r="J38"/>
  <c r="I38"/>
  <c r="G38"/>
  <c r="H38" s="1"/>
  <c r="D38"/>
  <c r="E38" s="1"/>
  <c r="F38" s="1"/>
  <c r="M38" s="1"/>
  <c r="C38"/>
  <c r="N37"/>
  <c r="L37"/>
  <c r="K37"/>
  <c r="E37"/>
  <c r="F37" s="1"/>
  <c r="D37"/>
  <c r="C37"/>
  <c r="N36"/>
  <c r="L36"/>
  <c r="K36"/>
  <c r="D36"/>
  <c r="E36" s="1"/>
  <c r="F36" s="1"/>
  <c r="M36" s="1"/>
  <c r="C36"/>
  <c r="G36" s="1"/>
  <c r="H36" s="1"/>
  <c r="J36" s="1"/>
  <c r="N35"/>
  <c r="M35"/>
  <c r="L35"/>
  <c r="K35"/>
  <c r="E35"/>
  <c r="F35" s="1"/>
  <c r="I35" s="1"/>
  <c r="D35"/>
  <c r="C35"/>
  <c r="G35" s="1"/>
  <c r="H35" s="1"/>
  <c r="J35" s="1"/>
  <c r="N34"/>
  <c r="L34"/>
  <c r="K34"/>
  <c r="D34"/>
  <c r="E34" s="1"/>
  <c r="F34" s="1"/>
  <c r="M34" s="1"/>
  <c r="C34"/>
  <c r="G34" s="1"/>
  <c r="H34" s="1"/>
  <c r="J34" s="1"/>
  <c r="N33"/>
  <c r="L33"/>
  <c r="K33"/>
  <c r="E33"/>
  <c r="F33" s="1"/>
  <c r="D33"/>
  <c r="C33"/>
  <c r="N32"/>
  <c r="L32"/>
  <c r="K32"/>
  <c r="I32"/>
  <c r="G32"/>
  <c r="H32" s="1"/>
  <c r="J32" s="1"/>
  <c r="D32"/>
  <c r="E32" s="1"/>
  <c r="F32" s="1"/>
  <c r="M32" s="1"/>
  <c r="C32"/>
  <c r="N31"/>
  <c r="L31"/>
  <c r="K31"/>
  <c r="G31"/>
  <c r="H31" s="1"/>
  <c r="J31" s="1"/>
  <c r="E31"/>
  <c r="F31" s="1"/>
  <c r="D31"/>
  <c r="C31"/>
  <c r="N30"/>
  <c r="L30"/>
  <c r="K30"/>
  <c r="I30"/>
  <c r="G30"/>
  <c r="H30" s="1"/>
  <c r="J30" s="1"/>
  <c r="D30"/>
  <c r="E30" s="1"/>
  <c r="F30" s="1"/>
  <c r="M30" s="1"/>
  <c r="C30"/>
  <c r="N29"/>
  <c r="L29"/>
  <c r="K29"/>
  <c r="E29"/>
  <c r="F29" s="1"/>
  <c r="D29"/>
  <c r="C29"/>
  <c r="N28"/>
  <c r="L28"/>
  <c r="K28"/>
  <c r="D28"/>
  <c r="E28" s="1"/>
  <c r="F28" s="1"/>
  <c r="C28"/>
  <c r="G28" s="1"/>
  <c r="H28" s="1"/>
  <c r="J28" s="1"/>
  <c r="N27"/>
  <c r="L27"/>
  <c r="K27"/>
  <c r="E27"/>
  <c r="F27" s="1"/>
  <c r="D27"/>
  <c r="C27"/>
  <c r="N26"/>
  <c r="L26"/>
  <c r="K26"/>
  <c r="D26"/>
  <c r="E26" s="1"/>
  <c r="F26" s="1"/>
  <c r="C26"/>
  <c r="N25"/>
  <c r="L25"/>
  <c r="K25"/>
  <c r="D25"/>
  <c r="E25" s="1"/>
  <c r="F25" s="1"/>
  <c r="G25" s="1"/>
  <c r="H25" s="1"/>
  <c r="J25" s="1"/>
  <c r="C25"/>
  <c r="N24"/>
  <c r="L24"/>
  <c r="K24"/>
  <c r="D24"/>
  <c r="E24" s="1"/>
  <c r="F24" s="1"/>
  <c r="C24"/>
  <c r="N23"/>
  <c r="L23"/>
  <c r="K23"/>
  <c r="D23"/>
  <c r="E23" s="1"/>
  <c r="F23" s="1"/>
  <c r="C23"/>
  <c r="N22"/>
  <c r="L22"/>
  <c r="K22"/>
  <c r="D22"/>
  <c r="E22" s="1"/>
  <c r="F22" s="1"/>
  <c r="C22"/>
  <c r="N21"/>
  <c r="L21"/>
  <c r="K21"/>
  <c r="F21"/>
  <c r="D21"/>
  <c r="E21" s="1"/>
  <c r="C21"/>
  <c r="N20"/>
  <c r="L20"/>
  <c r="K20"/>
  <c r="D20"/>
  <c r="E20" s="1"/>
  <c r="F20" s="1"/>
  <c r="C20"/>
  <c r="N19"/>
  <c r="L19"/>
  <c r="K19"/>
  <c r="F19"/>
  <c r="D19"/>
  <c r="E19" s="1"/>
  <c r="C19"/>
  <c r="G19" s="1"/>
  <c r="H19" s="1"/>
  <c r="J19" s="1"/>
  <c r="N18"/>
  <c r="L18"/>
  <c r="K18"/>
  <c r="D18"/>
  <c r="E18" s="1"/>
  <c r="F18" s="1"/>
  <c r="C18"/>
  <c r="N17"/>
  <c r="L17"/>
  <c r="K17"/>
  <c r="F17"/>
  <c r="D17"/>
  <c r="E17" s="1"/>
  <c r="C17"/>
  <c r="N16"/>
  <c r="L16"/>
  <c r="K16"/>
  <c r="D16"/>
  <c r="E16" s="1"/>
  <c r="F16" s="1"/>
  <c r="C16"/>
  <c r="N15"/>
  <c r="L15"/>
  <c r="K15"/>
  <c r="D15"/>
  <c r="E15" s="1"/>
  <c r="F15" s="1"/>
  <c r="C15"/>
  <c r="N14"/>
  <c r="L14"/>
  <c r="K14"/>
  <c r="D14"/>
  <c r="E14" s="1"/>
  <c r="F14" s="1"/>
  <c r="C14"/>
  <c r="N13"/>
  <c r="L13"/>
  <c r="K13"/>
  <c r="D13"/>
  <c r="E13" s="1"/>
  <c r="F13" s="1"/>
  <c r="C13"/>
  <c r="N12"/>
  <c r="L12"/>
  <c r="K12"/>
  <c r="D12"/>
  <c r="E12" s="1"/>
  <c r="F12" s="1"/>
  <c r="C12"/>
  <c r="N11"/>
  <c r="L11"/>
  <c r="K11"/>
  <c r="D11"/>
  <c r="E11" s="1"/>
  <c r="F11" s="1"/>
  <c r="C11"/>
  <c r="N10"/>
  <c r="L10"/>
  <c r="K10"/>
  <c r="D10"/>
  <c r="E10" s="1"/>
  <c r="F10" s="1"/>
  <c r="C10"/>
  <c r="N9"/>
  <c r="L9"/>
  <c r="K9"/>
  <c r="D9"/>
  <c r="E9" s="1"/>
  <c r="F9" s="1"/>
  <c r="C9"/>
  <c r="N8"/>
  <c r="L8"/>
  <c r="K8"/>
  <c r="D8"/>
  <c r="E8" s="1"/>
  <c r="F8" s="1"/>
  <c r="C8"/>
  <c r="N7"/>
  <c r="L7"/>
  <c r="K7"/>
  <c r="D7"/>
  <c r="E7" s="1"/>
  <c r="F7" s="1"/>
  <c r="C7"/>
  <c r="N6"/>
  <c r="L6"/>
  <c r="K6"/>
  <c r="D6"/>
  <c r="E6" s="1"/>
  <c r="F6" s="1"/>
  <c r="C6"/>
  <c r="N5"/>
  <c r="L5"/>
  <c r="K5"/>
  <c r="F5"/>
  <c r="D5"/>
  <c r="E5" s="1"/>
  <c r="C5"/>
  <c r="N4"/>
  <c r="L4"/>
  <c r="K4"/>
  <c r="D4"/>
  <c r="E4" s="1"/>
  <c r="F4" s="1"/>
  <c r="C4"/>
  <c r="N130" l="1"/>
  <c r="I130"/>
  <c r="N117"/>
  <c r="I117"/>
  <c r="G117"/>
  <c r="M122"/>
  <c r="H122"/>
  <c r="J122" s="1"/>
  <c r="I122"/>
  <c r="N122"/>
  <c r="N107"/>
  <c r="I107"/>
  <c r="N138"/>
  <c r="I138"/>
  <c r="G138"/>
  <c r="M138" s="1"/>
  <c r="I105"/>
  <c r="I125"/>
  <c r="G128"/>
  <c r="M128" s="1"/>
  <c r="G84"/>
  <c r="H84" s="1"/>
  <c r="J84" s="1"/>
  <c r="H136"/>
  <c r="J136" s="1"/>
  <c r="H160"/>
  <c r="J160" s="1"/>
  <c r="I123"/>
  <c r="I128"/>
  <c r="I103"/>
  <c r="G105"/>
  <c r="H105" s="1"/>
  <c r="J105" s="1"/>
  <c r="I102"/>
  <c r="G102"/>
  <c r="H102" s="1"/>
  <c r="J102" s="1"/>
  <c r="N102"/>
  <c r="M114"/>
  <c r="H114"/>
  <c r="J114" s="1"/>
  <c r="I140"/>
  <c r="G140"/>
  <c r="N140"/>
  <c r="I143"/>
  <c r="G143"/>
  <c r="N143"/>
  <c r="I88"/>
  <c r="N88"/>
  <c r="G88"/>
  <c r="H88" s="1"/>
  <c r="J88" s="1"/>
  <c r="I113"/>
  <c r="N113"/>
  <c r="I119"/>
  <c r="N119"/>
  <c r="G119"/>
  <c r="I153"/>
  <c r="N153"/>
  <c r="I96"/>
  <c r="N96"/>
  <c r="G96"/>
  <c r="H96" s="1"/>
  <c r="J96" s="1"/>
  <c r="I116"/>
  <c r="G116"/>
  <c r="N116"/>
  <c r="I129"/>
  <c r="N129"/>
  <c r="I142"/>
  <c r="N142"/>
  <c r="I156"/>
  <c r="G156"/>
  <c r="N156"/>
  <c r="I145"/>
  <c r="N145"/>
  <c r="I148"/>
  <c r="G148"/>
  <c r="N148"/>
  <c r="I94"/>
  <c r="N94"/>
  <c r="G94"/>
  <c r="H94" s="1"/>
  <c r="J94" s="1"/>
  <c r="I108"/>
  <c r="N108"/>
  <c r="G108"/>
  <c r="I111"/>
  <c r="G111"/>
  <c r="N111"/>
  <c r="I132"/>
  <c r="N132"/>
  <c r="G132"/>
  <c r="I135"/>
  <c r="G135"/>
  <c r="N135"/>
  <c r="I92"/>
  <c r="G92"/>
  <c r="H92" s="1"/>
  <c r="J92" s="1"/>
  <c r="N92"/>
  <c r="I104"/>
  <c r="N104"/>
  <c r="G104"/>
  <c r="H104" s="1"/>
  <c r="J104" s="1"/>
  <c r="I84"/>
  <c r="N84"/>
  <c r="I98"/>
  <c r="G98"/>
  <c r="H98" s="1"/>
  <c r="J98" s="1"/>
  <c r="N98"/>
  <c r="I121"/>
  <c r="N121"/>
  <c r="I86"/>
  <c r="G86"/>
  <c r="H86" s="1"/>
  <c r="J86" s="1"/>
  <c r="N86"/>
  <c r="I100"/>
  <c r="G100"/>
  <c r="H100" s="1"/>
  <c r="J100" s="1"/>
  <c r="N100"/>
  <c r="I127"/>
  <c r="G127"/>
  <c r="N127"/>
  <c r="I150"/>
  <c r="N150"/>
  <c r="I110"/>
  <c r="N110"/>
  <c r="I134"/>
  <c r="N134"/>
  <c r="G110"/>
  <c r="G134"/>
  <c r="H147"/>
  <c r="J147" s="1"/>
  <c r="M147"/>
  <c r="N114"/>
  <c r="I118"/>
  <c r="N118"/>
  <c r="G126"/>
  <c r="H131"/>
  <c r="J131" s="1"/>
  <c r="M131"/>
  <c r="N146"/>
  <c r="G90"/>
  <c r="H90" s="1"/>
  <c r="J90" s="1"/>
  <c r="I91"/>
  <c r="G97"/>
  <c r="H97" s="1"/>
  <c r="J97" s="1"/>
  <c r="G106"/>
  <c r="H106" s="1"/>
  <c r="J106" s="1"/>
  <c r="I112"/>
  <c r="G120"/>
  <c r="G124"/>
  <c r="G125"/>
  <c r="G130"/>
  <c r="G139"/>
  <c r="I144"/>
  <c r="H151"/>
  <c r="J151" s="1"/>
  <c r="N154"/>
  <c r="G159"/>
  <c r="G121"/>
  <c r="I126"/>
  <c r="N126"/>
  <c r="H138"/>
  <c r="J138" s="1"/>
  <c r="G142"/>
  <c r="G146"/>
  <c r="N90"/>
  <c r="I97"/>
  <c r="I115"/>
  <c r="I147"/>
  <c r="G150"/>
  <c r="I99"/>
  <c r="I109"/>
  <c r="G112"/>
  <c r="I114"/>
  <c r="I120"/>
  <c r="N124"/>
  <c r="I133"/>
  <c r="G137"/>
  <c r="G149"/>
  <c r="N151"/>
  <c r="I155"/>
  <c r="G158"/>
  <c r="H115"/>
  <c r="J115" s="1"/>
  <c r="M115"/>
  <c r="G109"/>
  <c r="H155"/>
  <c r="J155" s="1"/>
  <c r="M155"/>
  <c r="N106"/>
  <c r="G129"/>
  <c r="N137"/>
  <c r="G141"/>
  <c r="G154"/>
  <c r="I85"/>
  <c r="G91"/>
  <c r="H91" s="1"/>
  <c r="J91" s="1"/>
  <c r="I101"/>
  <c r="G107"/>
  <c r="H107" s="1"/>
  <c r="J107" s="1"/>
  <c r="G113"/>
  <c r="G118"/>
  <c r="G123"/>
  <c r="H128"/>
  <c r="J128" s="1"/>
  <c r="I141"/>
  <c r="G144"/>
  <c r="G145"/>
  <c r="G157"/>
  <c r="N159"/>
  <c r="G133"/>
  <c r="I139"/>
  <c r="G93"/>
  <c r="H93" s="1"/>
  <c r="J93" s="1"/>
  <c r="I149"/>
  <c r="G152"/>
  <c r="G153"/>
  <c r="I158"/>
  <c r="N158"/>
  <c r="M7"/>
  <c r="I7"/>
  <c r="M15"/>
  <c r="I15"/>
  <c r="M9"/>
  <c r="I9"/>
  <c r="M11"/>
  <c r="I11"/>
  <c r="M13"/>
  <c r="I13"/>
  <c r="M23"/>
  <c r="I23"/>
  <c r="G5"/>
  <c r="H5" s="1"/>
  <c r="J5" s="1"/>
  <c r="I6"/>
  <c r="G6"/>
  <c r="H6" s="1"/>
  <c r="J6" s="1"/>
  <c r="M6"/>
  <c r="M17"/>
  <c r="I17"/>
  <c r="G21"/>
  <c r="H21" s="1"/>
  <c r="J21" s="1"/>
  <c r="I22"/>
  <c r="G22"/>
  <c r="H22" s="1"/>
  <c r="J22" s="1"/>
  <c r="M22"/>
  <c r="G33"/>
  <c r="H33" s="1"/>
  <c r="J33" s="1"/>
  <c r="I43"/>
  <c r="M43"/>
  <c r="G59"/>
  <c r="H59" s="1"/>
  <c r="J59" s="1"/>
  <c r="I65"/>
  <c r="G65"/>
  <c r="H65" s="1"/>
  <c r="J65" s="1"/>
  <c r="M65"/>
  <c r="G15"/>
  <c r="H15" s="1"/>
  <c r="J15" s="1"/>
  <c r="I16"/>
  <c r="G16"/>
  <c r="H16" s="1"/>
  <c r="J16" s="1"/>
  <c r="M16"/>
  <c r="I27"/>
  <c r="M27"/>
  <c r="I37"/>
  <c r="M37"/>
  <c r="G37"/>
  <c r="H37" s="1"/>
  <c r="J37" s="1"/>
  <c r="I47"/>
  <c r="M47"/>
  <c r="G47"/>
  <c r="H47" s="1"/>
  <c r="J47" s="1"/>
  <c r="I51"/>
  <c r="M51"/>
  <c r="G67"/>
  <c r="H67" s="1"/>
  <c r="J67" s="1"/>
  <c r="I73"/>
  <c r="G73"/>
  <c r="H73" s="1"/>
  <c r="J73" s="1"/>
  <c r="M73"/>
  <c r="G9"/>
  <c r="H9" s="1"/>
  <c r="J9" s="1"/>
  <c r="I45"/>
  <c r="M45"/>
  <c r="G45"/>
  <c r="H45" s="1"/>
  <c r="J45" s="1"/>
  <c r="I63"/>
  <c r="G63"/>
  <c r="H63" s="1"/>
  <c r="J63" s="1"/>
  <c r="M63"/>
  <c r="I67"/>
  <c r="M67"/>
  <c r="G13"/>
  <c r="H13" s="1"/>
  <c r="J13" s="1"/>
  <c r="I14"/>
  <c r="G14"/>
  <c r="H14" s="1"/>
  <c r="J14" s="1"/>
  <c r="M14"/>
  <c r="I31"/>
  <c r="M31"/>
  <c r="I53"/>
  <c r="M53"/>
  <c r="I71"/>
  <c r="M71"/>
  <c r="G71"/>
  <c r="H71" s="1"/>
  <c r="J71" s="1"/>
  <c r="I75"/>
  <c r="M75"/>
  <c r="M5"/>
  <c r="I5"/>
  <c r="M26"/>
  <c r="I26"/>
  <c r="I4"/>
  <c r="M4"/>
  <c r="G4"/>
  <c r="H4" s="1"/>
  <c r="J4" s="1"/>
  <c r="I20"/>
  <c r="G20"/>
  <c r="H20" s="1"/>
  <c r="J20" s="1"/>
  <c r="M20"/>
  <c r="I25"/>
  <c r="M25"/>
  <c r="G7"/>
  <c r="H7" s="1"/>
  <c r="J7" s="1"/>
  <c r="M24"/>
  <c r="I24"/>
  <c r="G24"/>
  <c r="H24" s="1"/>
  <c r="J24" s="1"/>
  <c r="I29"/>
  <c r="M29"/>
  <c r="G17"/>
  <c r="H17" s="1"/>
  <c r="J17" s="1"/>
  <c r="I18"/>
  <c r="G18"/>
  <c r="H18" s="1"/>
  <c r="J18" s="1"/>
  <c r="M18"/>
  <c r="M28"/>
  <c r="I28"/>
  <c r="G29"/>
  <c r="H29" s="1"/>
  <c r="J29" s="1"/>
  <c r="G43"/>
  <c r="H43" s="1"/>
  <c r="J43" s="1"/>
  <c r="I49"/>
  <c r="M49"/>
  <c r="I69"/>
  <c r="M69"/>
  <c r="I10"/>
  <c r="M10"/>
  <c r="G10"/>
  <c r="H10" s="1"/>
  <c r="J10" s="1"/>
  <c r="M21"/>
  <c r="I21"/>
  <c r="I33"/>
  <c r="M33"/>
  <c r="I55"/>
  <c r="M55"/>
  <c r="G55"/>
  <c r="H55" s="1"/>
  <c r="J55" s="1"/>
  <c r="I59"/>
  <c r="M59"/>
  <c r="G26"/>
  <c r="H26" s="1"/>
  <c r="J26" s="1"/>
  <c r="I8"/>
  <c r="G8"/>
  <c r="H8" s="1"/>
  <c r="J8" s="1"/>
  <c r="M8"/>
  <c r="M19"/>
  <c r="I19"/>
  <c r="G23"/>
  <c r="H23" s="1"/>
  <c r="J23" s="1"/>
  <c r="I41"/>
  <c r="M41"/>
  <c r="I61"/>
  <c r="M61"/>
  <c r="I79"/>
  <c r="M79"/>
  <c r="G79"/>
  <c r="H79" s="1"/>
  <c r="J79" s="1"/>
  <c r="G11"/>
  <c r="H11" s="1"/>
  <c r="J11" s="1"/>
  <c r="I12"/>
  <c r="G12"/>
  <c r="H12" s="1"/>
  <c r="J12" s="1"/>
  <c r="M12"/>
  <c r="G27"/>
  <c r="H27" s="1"/>
  <c r="J27" s="1"/>
  <c r="I39"/>
  <c r="M39"/>
  <c r="G51"/>
  <c r="H51" s="1"/>
  <c r="J51" s="1"/>
  <c r="I57"/>
  <c r="G57"/>
  <c r="H57" s="1"/>
  <c r="J57" s="1"/>
  <c r="M57"/>
  <c r="I77"/>
  <c r="M77"/>
  <c r="I58"/>
  <c r="I34"/>
  <c r="I42"/>
  <c r="I50"/>
  <c r="I66"/>
  <c r="I74"/>
  <c r="I36"/>
  <c r="I44"/>
  <c r="I52"/>
  <c r="I60"/>
  <c r="I68"/>
  <c r="I76"/>
  <c r="M117" l="1"/>
  <c r="H117"/>
  <c r="J117" s="1"/>
  <c r="M157"/>
  <c r="H157"/>
  <c r="J157" s="1"/>
  <c r="H145"/>
  <c r="J145" s="1"/>
  <c r="M145"/>
  <c r="M149"/>
  <c r="H149"/>
  <c r="J149" s="1"/>
  <c r="H139"/>
  <c r="J139" s="1"/>
  <c r="M139"/>
  <c r="M152"/>
  <c r="H152"/>
  <c r="J152" s="1"/>
  <c r="M154"/>
  <c r="H154"/>
  <c r="J154" s="1"/>
  <c r="H121"/>
  <c r="J121" s="1"/>
  <c r="M121"/>
  <c r="H124"/>
  <c r="J124" s="1"/>
  <c r="M124"/>
  <c r="H134"/>
  <c r="J134" s="1"/>
  <c r="M134"/>
  <c r="H142"/>
  <c r="J142" s="1"/>
  <c r="M142"/>
  <c r="H150"/>
  <c r="J150" s="1"/>
  <c r="M150"/>
  <c r="M130"/>
  <c r="H130"/>
  <c r="J130" s="1"/>
  <c r="M125"/>
  <c r="H125"/>
  <c r="J125" s="1"/>
  <c r="H135"/>
  <c r="J135" s="1"/>
  <c r="M135"/>
  <c r="H123"/>
  <c r="J123" s="1"/>
  <c r="M123"/>
  <c r="M141"/>
  <c r="H141"/>
  <c r="J141" s="1"/>
  <c r="M159"/>
  <c r="H159"/>
  <c r="J159" s="1"/>
  <c r="M120"/>
  <c r="H120"/>
  <c r="J120" s="1"/>
  <c r="H110"/>
  <c r="J110" s="1"/>
  <c r="M110"/>
  <c r="H127"/>
  <c r="J127" s="1"/>
  <c r="M127"/>
  <c r="H132"/>
  <c r="J132" s="1"/>
  <c r="M132"/>
  <c r="M119"/>
  <c r="H119"/>
  <c r="J119" s="1"/>
  <c r="H153"/>
  <c r="J153" s="1"/>
  <c r="M153"/>
  <c r="H140"/>
  <c r="J140" s="1"/>
  <c r="M140"/>
  <c r="M144"/>
  <c r="H144"/>
  <c r="J144" s="1"/>
  <c r="H137"/>
  <c r="J137" s="1"/>
  <c r="M137"/>
  <c r="H148"/>
  <c r="J148" s="1"/>
  <c r="M148"/>
  <c r="M109"/>
  <c r="H109"/>
  <c r="J109" s="1"/>
  <c r="H108"/>
  <c r="J108" s="1"/>
  <c r="M108"/>
  <c r="M133"/>
  <c r="H133"/>
  <c r="J133" s="1"/>
  <c r="H118"/>
  <c r="J118" s="1"/>
  <c r="M118"/>
  <c r="H158"/>
  <c r="J158" s="1"/>
  <c r="M158"/>
  <c r="H126"/>
  <c r="J126" s="1"/>
  <c r="M126"/>
  <c r="H116"/>
  <c r="J116" s="1"/>
  <c r="M116"/>
  <c r="M143"/>
  <c r="H143"/>
  <c r="J143" s="1"/>
  <c r="H111"/>
  <c r="J111" s="1"/>
  <c r="M111"/>
  <c r="H113"/>
  <c r="J113" s="1"/>
  <c r="M113"/>
  <c r="H129"/>
  <c r="J129" s="1"/>
  <c r="M129"/>
  <c r="M112"/>
  <c r="H112"/>
  <c r="J112" s="1"/>
  <c r="M146"/>
  <c r="H146"/>
  <c r="J146" s="1"/>
  <c r="H156"/>
  <c r="J156" s="1"/>
  <c r="M156"/>
</calcChain>
</file>

<file path=xl/sharedStrings.xml><?xml version="1.0" encoding="utf-8"?>
<sst xmlns="http://schemas.openxmlformats.org/spreadsheetml/2006/main" count="398" uniqueCount="153">
  <si>
    <t>Pressure (bar) - [WET]Last measurement</t>
  </si>
  <si>
    <t>Flow (l/min) - [WET]Last measurement</t>
  </si>
  <si>
    <t>Pressure (bar) - [DRY]Last measurement</t>
  </si>
  <si>
    <t>Flow (l/min) - [DRY]Last measurement</t>
  </si>
  <si>
    <t>Pressure (bar) - [DRY2]Last measurement</t>
  </si>
  <si>
    <t>Flow (l/min) - [DRY2]Last measurement</t>
  </si>
  <si>
    <t>Pressure (bar) - [WET]0.5-S1-W+NMP-Krytox 157-5 mi...</t>
  </si>
  <si>
    <t>Flow (l/min) - [WET]0.5-S1-W+NMP-Krytox 157-5 mi...</t>
  </si>
  <si>
    <t>Pressure (bar) - [DRY]0.5-S1-W+NMP-Krytox 157-5 mi...</t>
  </si>
  <si>
    <t>Flow (l/min) - [DRY]0.5-S1-W+NMP-Krytox 157-5 mi...</t>
  </si>
  <si>
    <t>Pressure (bar) - [DRY2]0.5-S1-W+NMP-Krytox 157-5 mi...</t>
  </si>
  <si>
    <t>Flow (l/min) - [DRY2]0.5-S1-W+NMP-Krytox 157-5 mi...</t>
  </si>
  <si>
    <t>Pressure (bar) - [WET]</t>
  </si>
  <si>
    <t>Flow (l/min) - [WET]</t>
  </si>
  <si>
    <t>Pressure (bar) - [DRY]</t>
  </si>
  <si>
    <t>Flow (l/min) - [DRY]</t>
  </si>
  <si>
    <t>Pressure (bar) - [DRY2]</t>
  </si>
  <si>
    <t>Flow (l/min) - [DRY2]</t>
  </si>
  <si>
    <t>Pressure (bar) - [WET]0.5-S1-W+NMP-itslef</t>
  </si>
  <si>
    <t>Flow (l/min) - [WET]0.5-S1-W+NMP-itslef</t>
  </si>
  <si>
    <t>Pressure (bar) - [DRY]0.5-S1-W+NMP-itslef</t>
  </si>
  <si>
    <t>Flow (l/min) - [DRY]0.5-S1-W+NMP-itslef</t>
  </si>
  <si>
    <t>Pressure (bar) - [DRY2]0.5-S1-W+NMP-itslef</t>
  </si>
  <si>
    <t>Flow (l/min) - [DRY2]0.5-S1-W+NMP-itslef</t>
  </si>
  <si>
    <t>log p</t>
  </si>
  <si>
    <t>log flow</t>
  </si>
  <si>
    <t xml:space="preserve">calculation of permeabilty according to Darcy's law </t>
  </si>
  <si>
    <t>FC-43</t>
  </si>
  <si>
    <t>Pressure (bar) - [WET]0.5-S1-W+NMP-FC-43</t>
  </si>
  <si>
    <t>Flow (l/min) - [WET]0.5-S1-W+NMP-FC-43</t>
  </si>
  <si>
    <t>flow (m3/s)</t>
  </si>
  <si>
    <t>P absolute (bar)</t>
  </si>
  <si>
    <r>
      <rPr>
        <sz val="11"/>
        <color theme="1"/>
        <rFont val="Times New Roman"/>
        <family val="1"/>
      </rPr>
      <t>Δ</t>
    </r>
    <r>
      <rPr>
        <sz val="11"/>
        <color theme="1"/>
        <rFont val="Calibri"/>
        <family val="2"/>
      </rPr>
      <t>P (bar)</t>
    </r>
  </si>
  <si>
    <r>
      <rPr>
        <sz val="11"/>
        <color theme="1"/>
        <rFont val="Times New Roman"/>
        <family val="1"/>
      </rPr>
      <t>Δ</t>
    </r>
    <r>
      <rPr>
        <sz val="11"/>
        <color theme="1"/>
        <rFont val="Calibri"/>
        <family val="2"/>
      </rPr>
      <t>P (Pa)</t>
    </r>
  </si>
  <si>
    <t>k (m2)</t>
  </si>
  <si>
    <t>k (Darcy)</t>
  </si>
  <si>
    <r>
      <t xml:space="preserve">log </t>
    </r>
    <r>
      <rPr>
        <sz val="11"/>
        <color theme="1"/>
        <rFont val="Times New Roman"/>
        <family val="1"/>
      </rPr>
      <t>Δ</t>
    </r>
    <r>
      <rPr>
        <sz val="11"/>
        <color theme="1"/>
        <rFont val="Calibri"/>
        <family val="2"/>
      </rPr>
      <t>P (Pa)</t>
    </r>
  </si>
  <si>
    <t>log k (Darcy)</t>
  </si>
  <si>
    <r>
      <t xml:space="preserve">log </t>
    </r>
    <r>
      <rPr>
        <sz val="11"/>
        <color theme="1"/>
        <rFont val="Times New Roman"/>
        <family val="1"/>
      </rPr>
      <t>Δ</t>
    </r>
    <r>
      <rPr>
        <sz val="11"/>
        <color theme="1"/>
        <rFont val="Calibri"/>
        <family val="2"/>
      </rPr>
      <t>P (bar)</t>
    </r>
  </si>
  <si>
    <t>log flow (l/min)</t>
  </si>
  <si>
    <r>
      <t xml:space="preserve">log </t>
    </r>
    <r>
      <rPr>
        <sz val="11"/>
        <color theme="1"/>
        <rFont val="Calibri"/>
        <family val="2"/>
      </rPr>
      <t>ΔP (Pa)</t>
    </r>
  </si>
  <si>
    <t>realtive perm based on the measured perm of FC-43</t>
  </si>
  <si>
    <t>Krytox-157</t>
  </si>
  <si>
    <t>Krytox-157 FSH</t>
  </si>
  <si>
    <t>Pressure (bar) - [WET]0.5-S1-W+NMP-Krytox-157-FSH</t>
  </si>
  <si>
    <t>Flow (l/min) - [WET]0.5-S1-W+NMP-Krytox-157-FSH</t>
  </si>
  <si>
    <t>relative gas permeability</t>
  </si>
  <si>
    <t>Film thickness calculation</t>
  </si>
  <si>
    <t>Modified Chisholm model</t>
  </si>
  <si>
    <t>Section III-Krytox-157FSH</t>
  </si>
  <si>
    <t>calculated thickness according to the experiment</t>
  </si>
  <si>
    <t>Absolute pressure (bar)</t>
  </si>
  <si>
    <t>pressure drop (bar)</t>
  </si>
  <si>
    <t>pressure drop (Pa)</t>
  </si>
  <si>
    <t>ΔP/L (Pa/m)</t>
  </si>
  <si>
    <t>gas density (kg/m3)</t>
  </si>
  <si>
    <t>mean gas density (kg/m3)</t>
  </si>
  <si>
    <t>Qout (m3/s)</t>
  </si>
  <si>
    <t>Q through one pore (m3/s)</t>
  </si>
  <si>
    <r>
      <t>oil thickness (</t>
    </r>
    <r>
      <rPr>
        <sz val="11"/>
        <color theme="1"/>
        <rFont val="Calibri"/>
        <family val="2"/>
      </rPr>
      <t>μm</t>
    </r>
    <r>
      <rPr>
        <sz val="11"/>
        <color theme="1"/>
        <rFont val="Calibri"/>
        <family val="2"/>
        <scheme val="minor"/>
      </rPr>
      <t>)</t>
    </r>
  </si>
  <si>
    <t>oil thickness (m)</t>
  </si>
  <si>
    <r>
      <t>Ri (</t>
    </r>
    <r>
      <rPr>
        <sz val="11"/>
        <color theme="1"/>
        <rFont val="Calibri"/>
        <family val="2"/>
      </rPr>
      <t>μm</t>
    </r>
    <r>
      <rPr>
        <sz val="11"/>
        <color theme="1"/>
        <rFont val="Calibri"/>
        <family val="2"/>
        <scheme val="minor"/>
      </rPr>
      <t>)</t>
    </r>
  </si>
  <si>
    <r>
      <t>Ri (</t>
    </r>
    <r>
      <rPr>
        <sz val="11"/>
        <color theme="1"/>
        <rFont val="Calibri"/>
        <family val="2"/>
      </rPr>
      <t>m</t>
    </r>
    <r>
      <rPr>
        <sz val="11"/>
        <color theme="1"/>
        <rFont val="Calibri"/>
        <family val="2"/>
        <scheme val="minor"/>
      </rPr>
      <t>)</t>
    </r>
  </si>
  <si>
    <t>interfacial shear stress (Pa)</t>
  </si>
  <si>
    <t>part I</t>
  </si>
  <si>
    <t>part II</t>
  </si>
  <si>
    <t>Part III</t>
  </si>
  <si>
    <t>liquid mass flow rate (kg/s)</t>
  </si>
  <si>
    <t>liquid film volumetric flow rate (m3/s)</t>
  </si>
  <si>
    <t>area of the liquid film (m2)</t>
  </si>
  <si>
    <t>liquid velocity (m/s)</t>
  </si>
  <si>
    <t>liquid flux (kg/m2.s)</t>
  </si>
  <si>
    <t>gas velocity (m/s)</t>
  </si>
  <si>
    <t>Re(L)</t>
  </si>
  <si>
    <t>Re(G)</t>
  </si>
  <si>
    <t>gas mass flow rate (kg/s)</t>
  </si>
  <si>
    <t>x (quality)</t>
  </si>
  <si>
    <t>total mass flux (kg/m2.s)</t>
  </si>
  <si>
    <t>superficial gas velocity (m/s)</t>
  </si>
  <si>
    <t>superficial liquid velocity (m/s)</t>
  </si>
  <si>
    <t>Re (SG)</t>
  </si>
  <si>
    <t>Re (SL)</t>
  </si>
  <si>
    <t>f (gas)</t>
  </si>
  <si>
    <t>f (liq)</t>
  </si>
  <si>
    <t>ΔP (gas) (Pa)</t>
  </si>
  <si>
    <t>ΔP (liq) (Pa)</t>
  </si>
  <si>
    <t>Lockhar-Martinelli parameter X</t>
  </si>
  <si>
    <t>Laplace number</t>
  </si>
  <si>
    <t>C value</t>
  </si>
  <si>
    <t>two phase multiplier (gas) (Φ2)</t>
  </si>
  <si>
    <t>two phase multiplier (liq) (Φ2)</t>
  </si>
  <si>
    <t>ΔP (Total) according to gas (Pa)</t>
  </si>
  <si>
    <t>ΔP (Total) according to liq (Pa)</t>
  </si>
  <si>
    <t>ΔP/L-experimental-(Mpa/mm)</t>
  </si>
  <si>
    <t>ΔP/L-calculated-(Mpa/mm)</t>
  </si>
  <si>
    <t>log ΔP/L-experimental-(Mpa/mm)</t>
  </si>
  <si>
    <t>log ΔP/L-calculated-(Mpa/mm)</t>
  </si>
  <si>
    <t>prediction/experimental value</t>
  </si>
  <si>
    <t>new interfacial shear stress based on Lockhart-Martinelli (Pa)</t>
  </si>
  <si>
    <t>oil thickness^2 (m2)</t>
  </si>
  <si>
    <t>oil thickness (μm)</t>
  </si>
  <si>
    <t>predicted to experimental thickness</t>
  </si>
  <si>
    <r>
      <t>oil thickness-experimental (</t>
    </r>
    <r>
      <rPr>
        <sz val="11"/>
        <color theme="1"/>
        <rFont val="Calibri"/>
        <family val="2"/>
      </rPr>
      <t>μm</t>
    </r>
    <r>
      <rPr>
        <sz val="11"/>
        <color theme="1"/>
        <rFont val="Calibri"/>
        <family val="2"/>
        <scheme val="minor"/>
      </rPr>
      <t>)</t>
    </r>
  </si>
  <si>
    <t>log experimental thickness (μm)</t>
  </si>
  <si>
    <t>log predicted thickness (μm)</t>
  </si>
  <si>
    <t>mean realtive error in calculation of film thickness</t>
  </si>
  <si>
    <t>MEAN</t>
  </si>
  <si>
    <t>FC-43-Section III</t>
  </si>
  <si>
    <t>Var</t>
  </si>
  <si>
    <t>S.D</t>
  </si>
  <si>
    <t>S.D%</t>
  </si>
  <si>
    <t>Modified Turner-Wallis model</t>
  </si>
  <si>
    <t>A1 (liq)</t>
  </si>
  <si>
    <t>A2 (liq)</t>
  </si>
  <si>
    <t>A1 (gas)</t>
  </si>
  <si>
    <t>A2 (gas</t>
  </si>
  <si>
    <t>Fourar and Lenormand Model</t>
  </si>
  <si>
    <t>according to Hagen-Poiseuille</t>
  </si>
  <si>
    <t>according to Darcy</t>
  </si>
  <si>
    <t>total flow rate (m3/s)</t>
  </si>
  <si>
    <t>kr (gas)</t>
  </si>
  <si>
    <t>kr (liq)</t>
  </si>
  <si>
    <t>F (gas)</t>
  </si>
  <si>
    <t>F (liq)</t>
  </si>
  <si>
    <t>ϕ (liq)</t>
  </si>
  <si>
    <t>ϕ (gas)</t>
  </si>
  <si>
    <t>X</t>
  </si>
  <si>
    <t>f gas</t>
  </si>
  <si>
    <t>log x</t>
  </si>
  <si>
    <t>predicted ri (µm)</t>
  </si>
  <si>
    <t>predicted ri (m)</t>
  </si>
  <si>
    <t>porosity (φ)</t>
  </si>
  <si>
    <t>predicted k (m2)</t>
  </si>
  <si>
    <t>predicted k (Darcy)</t>
  </si>
  <si>
    <t>log ΔP (Pa)</t>
  </si>
  <si>
    <t>log ri (pre) (m)</t>
  </si>
  <si>
    <t>mean relative error for calculation of film thickness</t>
  </si>
  <si>
    <t>predicted Q through one pore(m3/s)</t>
  </si>
  <si>
    <t>predicted Q through one pore (l/min)</t>
  </si>
  <si>
    <t>total Q-pre (l/min)</t>
  </si>
  <si>
    <t>log Q-pre (l/min)</t>
  </si>
  <si>
    <t>log Q-exp</t>
  </si>
  <si>
    <t>predicted Q total(m3/s)</t>
  </si>
  <si>
    <t>predicted Qtotal (l/min)</t>
  </si>
  <si>
    <t>mean relative error for calculation of Q</t>
  </si>
  <si>
    <t>predicted to experimental Q</t>
  </si>
  <si>
    <t>Jeff's formula</t>
  </si>
  <si>
    <r>
      <t>(D-2</t>
    </r>
    <r>
      <rPr>
        <sz val="11"/>
        <color theme="1"/>
        <rFont val="Calibri"/>
        <family val="2"/>
      </rPr>
      <t>δ)^4 (m4)</t>
    </r>
  </si>
  <si>
    <t>Ri (m)</t>
  </si>
  <si>
    <r>
      <t>Ri (</t>
    </r>
    <r>
      <rPr>
        <sz val="11"/>
        <color theme="1"/>
        <rFont val="Calibri"/>
        <family val="2"/>
      </rPr>
      <t>μ</t>
    </r>
    <r>
      <rPr>
        <sz val="11"/>
        <color theme="1"/>
        <rFont val="Calibri"/>
        <family val="2"/>
        <scheme val="minor"/>
      </rPr>
      <t>m)</t>
    </r>
  </si>
  <si>
    <r>
      <t>log ri (experiment) (</t>
    </r>
    <r>
      <rPr>
        <sz val="11"/>
        <color theme="1"/>
        <rFont val="Calibri"/>
        <family val="2"/>
      </rPr>
      <t>m</t>
    </r>
    <r>
      <rPr>
        <sz val="11"/>
        <color theme="1"/>
        <rFont val="Calibri"/>
        <family val="2"/>
        <scheme val="minor"/>
      </rPr>
      <t>)</t>
    </r>
  </si>
  <si>
    <r>
      <t>log ri (pre) (</t>
    </r>
    <r>
      <rPr>
        <sz val="11"/>
        <color theme="1"/>
        <rFont val="Calibri"/>
        <family val="2"/>
      </rPr>
      <t>m</t>
    </r>
    <r>
      <rPr>
        <sz val="11"/>
        <color theme="1"/>
        <rFont val="Calibri"/>
        <family val="2"/>
        <scheme val="minor"/>
      </rPr>
      <t>)</t>
    </r>
  </si>
  <si>
    <r>
      <t>log predicted thickness (</t>
    </r>
    <r>
      <rPr>
        <sz val="11"/>
        <color theme="1"/>
        <rFont val="Calibri"/>
        <family val="2"/>
      </rPr>
      <t>µm)</t>
    </r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</si>
</sst>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Times New Roman"/>
      <family val="1"/>
    </font>
    <font>
      <sz val="11"/>
      <color rgb="FFFF0000"/>
      <name val="Calibri"/>
      <family val="2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0">
    <xf numFmtId="0" fontId="0" fillId="0" borderId="0" xfId="0"/>
    <xf numFmtId="0" fontId="0" fillId="33" borderId="0" xfId="0" applyFill="1"/>
    <xf numFmtId="0" fontId="0" fillId="34" borderId="0" xfId="0" applyFill="1"/>
    <xf numFmtId="0" fontId="18" fillId="0" borderId="0" xfId="0" applyFont="1"/>
    <xf numFmtId="0" fontId="0" fillId="0" borderId="0" xfId="0" applyFill="1"/>
    <xf numFmtId="0" fontId="0" fillId="0" borderId="0" xfId="0" applyFont="1" applyFill="1"/>
    <xf numFmtId="0" fontId="0" fillId="35" borderId="0" xfId="0" applyFill="1"/>
    <xf numFmtId="0" fontId="0" fillId="36" borderId="0" xfId="0" applyFill="1"/>
    <xf numFmtId="0" fontId="16" fillId="0" borderId="0" xfId="0" applyFont="1"/>
    <xf numFmtId="0" fontId="0" fillId="37" borderId="0" xfId="0" applyFill="1"/>
    <xf numFmtId="0" fontId="18" fillId="37" borderId="0" xfId="0" applyFont="1" applyFill="1"/>
    <xf numFmtId="0" fontId="18" fillId="33" borderId="0" xfId="0" applyFont="1" applyFill="1"/>
    <xf numFmtId="0" fontId="18" fillId="0" borderId="0" xfId="0" applyFont="1" applyFill="1"/>
    <xf numFmtId="0" fontId="18" fillId="38" borderId="0" xfId="0" applyFont="1" applyFill="1"/>
    <xf numFmtId="0" fontId="18" fillId="34" borderId="0" xfId="0" applyFont="1" applyFill="1"/>
    <xf numFmtId="0" fontId="0" fillId="39" borderId="0" xfId="0" applyFill="1"/>
    <xf numFmtId="0" fontId="20" fillId="0" borderId="0" xfId="0" applyFont="1" applyFill="1"/>
    <xf numFmtId="0" fontId="19" fillId="0" borderId="0" xfId="0" applyFont="1"/>
    <xf numFmtId="0" fontId="14" fillId="0" borderId="0" xfId="0" applyFont="1"/>
    <xf numFmtId="0" fontId="0" fillId="40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tx>
            <c:v>wet curve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lvtemporary_133125!$G$2:$G$78</c:f>
              <c:numCache>
                <c:formatCode>General</c:formatCode>
                <c:ptCount val="77"/>
                <c:pt idx="0">
                  <c:v>0</c:v>
                </c:pt>
                <c:pt idx="1">
                  <c:v>5.4711999999999998E-3</c:v>
                </c:pt>
                <c:pt idx="2">
                  <c:v>2.0268999999999999E-2</c:v>
                </c:pt>
                <c:pt idx="3">
                  <c:v>4.0312000000000001E-2</c:v>
                </c:pt>
                <c:pt idx="4">
                  <c:v>6.0164000000000002E-2</c:v>
                </c:pt>
                <c:pt idx="5">
                  <c:v>8.0128000000000005E-2</c:v>
                </c:pt>
                <c:pt idx="6">
                  <c:v>9.9904999999999994E-2</c:v>
                </c:pt>
                <c:pt idx="7">
                  <c:v>0.1202</c:v>
                </c:pt>
                <c:pt idx="8">
                  <c:v>0.14004</c:v>
                </c:pt>
                <c:pt idx="9">
                  <c:v>0.15994</c:v>
                </c:pt>
                <c:pt idx="10">
                  <c:v>0.17971000000000001</c:v>
                </c:pt>
                <c:pt idx="11">
                  <c:v>0.19966999999999999</c:v>
                </c:pt>
                <c:pt idx="12">
                  <c:v>0.2195</c:v>
                </c:pt>
                <c:pt idx="13">
                  <c:v>0.23919000000000001</c:v>
                </c:pt>
                <c:pt idx="14">
                  <c:v>0.25889000000000001</c:v>
                </c:pt>
                <c:pt idx="15">
                  <c:v>0.27850999999999998</c:v>
                </c:pt>
                <c:pt idx="16">
                  <c:v>0.29824000000000001</c:v>
                </c:pt>
                <c:pt idx="17">
                  <c:v>0.31885999999999998</c:v>
                </c:pt>
                <c:pt idx="18">
                  <c:v>0.33809</c:v>
                </c:pt>
                <c:pt idx="19">
                  <c:v>0.35980000000000001</c:v>
                </c:pt>
                <c:pt idx="20">
                  <c:v>0.37884000000000001</c:v>
                </c:pt>
                <c:pt idx="21">
                  <c:v>0.39818999999999999</c:v>
                </c:pt>
                <c:pt idx="22">
                  <c:v>0.41798000000000002</c:v>
                </c:pt>
                <c:pt idx="23">
                  <c:v>0.43857000000000002</c:v>
                </c:pt>
                <c:pt idx="24">
                  <c:v>0.45767000000000002</c:v>
                </c:pt>
                <c:pt idx="25">
                  <c:v>0.47887999999999997</c:v>
                </c:pt>
                <c:pt idx="26">
                  <c:v>0.49826999999999999</c:v>
                </c:pt>
                <c:pt idx="27">
                  <c:v>0.51844000000000001</c:v>
                </c:pt>
                <c:pt idx="28">
                  <c:v>0.53790000000000004</c:v>
                </c:pt>
                <c:pt idx="29">
                  <c:v>0.55745999999999996</c:v>
                </c:pt>
                <c:pt idx="30">
                  <c:v>0.5766</c:v>
                </c:pt>
                <c:pt idx="31">
                  <c:v>0.59641</c:v>
                </c:pt>
                <c:pt idx="32">
                  <c:v>0.61480999999999997</c:v>
                </c:pt>
                <c:pt idx="33">
                  <c:v>0.63721000000000005</c:v>
                </c:pt>
                <c:pt idx="34">
                  <c:v>0.65634999999999999</c:v>
                </c:pt>
                <c:pt idx="35">
                  <c:v>0.67700000000000005</c:v>
                </c:pt>
                <c:pt idx="36">
                  <c:v>0.69564000000000004</c:v>
                </c:pt>
                <c:pt idx="37">
                  <c:v>0.71628000000000003</c:v>
                </c:pt>
                <c:pt idx="38">
                  <c:v>0.73556999999999995</c:v>
                </c:pt>
                <c:pt idx="39">
                  <c:v>0.75588999999999995</c:v>
                </c:pt>
                <c:pt idx="40">
                  <c:v>0.77510999999999997</c:v>
                </c:pt>
                <c:pt idx="41">
                  <c:v>0.79493000000000003</c:v>
                </c:pt>
                <c:pt idx="42">
                  <c:v>0.81557000000000002</c:v>
                </c:pt>
                <c:pt idx="43">
                  <c:v>0.83514999999999995</c:v>
                </c:pt>
                <c:pt idx="44">
                  <c:v>0.85541999999999996</c:v>
                </c:pt>
                <c:pt idx="45">
                  <c:v>0.87544</c:v>
                </c:pt>
                <c:pt idx="46">
                  <c:v>0.89422000000000001</c:v>
                </c:pt>
                <c:pt idx="47">
                  <c:v>0.91407000000000005</c:v>
                </c:pt>
                <c:pt idx="48">
                  <c:v>0.93410000000000004</c:v>
                </c:pt>
                <c:pt idx="49">
                  <c:v>0.95521999999999996</c:v>
                </c:pt>
                <c:pt idx="50">
                  <c:v>0.97484999999999999</c:v>
                </c:pt>
                <c:pt idx="51">
                  <c:v>0.99499000000000004</c:v>
                </c:pt>
                <c:pt idx="52">
                  <c:v>1.0147999999999999</c:v>
                </c:pt>
                <c:pt idx="53">
                  <c:v>1.0350999999999999</c:v>
                </c:pt>
                <c:pt idx="54">
                  <c:v>1.0535000000000001</c:v>
                </c:pt>
                <c:pt idx="55">
                  <c:v>1.0739000000000001</c:v>
                </c:pt>
                <c:pt idx="56">
                  <c:v>1.0932999999999999</c:v>
                </c:pt>
                <c:pt idx="57">
                  <c:v>1.1135999999999999</c:v>
                </c:pt>
                <c:pt idx="58">
                  <c:v>1.1329</c:v>
                </c:pt>
                <c:pt idx="59">
                  <c:v>1.1580999999999999</c:v>
                </c:pt>
                <c:pt idx="60">
                  <c:v>1.1771</c:v>
                </c:pt>
                <c:pt idx="61">
                  <c:v>1.1938</c:v>
                </c:pt>
                <c:pt idx="62">
                  <c:v>1.2138</c:v>
                </c:pt>
                <c:pt idx="63">
                  <c:v>1.2323999999999999</c:v>
                </c:pt>
                <c:pt idx="64">
                  <c:v>1.2519</c:v>
                </c:pt>
                <c:pt idx="65">
                  <c:v>1.2727999999999999</c:v>
                </c:pt>
                <c:pt idx="66">
                  <c:v>1.2926</c:v>
                </c:pt>
                <c:pt idx="67">
                  <c:v>1.3110999999999999</c:v>
                </c:pt>
                <c:pt idx="68">
                  <c:v>1.3326</c:v>
                </c:pt>
                <c:pt idx="69">
                  <c:v>1.3514999999999999</c:v>
                </c:pt>
                <c:pt idx="70">
                  <c:v>1.3722000000000001</c:v>
                </c:pt>
                <c:pt idx="71">
                  <c:v>1.3942000000000001</c:v>
                </c:pt>
                <c:pt idx="72">
                  <c:v>1.4134</c:v>
                </c:pt>
                <c:pt idx="73">
                  <c:v>1.4325000000000001</c:v>
                </c:pt>
                <c:pt idx="74">
                  <c:v>1.4505999999999999</c:v>
                </c:pt>
                <c:pt idx="75">
                  <c:v>1.4704999999999999</c:v>
                </c:pt>
                <c:pt idx="76">
                  <c:v>1.4913000000000001</c:v>
                </c:pt>
              </c:numCache>
            </c:numRef>
          </c:xVal>
          <c:yVal>
            <c:numRef>
              <c:f>lvtemporary_133125!$H$2:$H$78</c:f>
              <c:numCache>
                <c:formatCode>General</c:formatCode>
                <c:ptCount val="77"/>
                <c:pt idx="0">
                  <c:v>0</c:v>
                </c:pt>
                <c:pt idx="1">
                  <c:v>1.1215000000000001E-3</c:v>
                </c:pt>
                <c:pt idx="2">
                  <c:v>1.9226E-3</c:v>
                </c:pt>
                <c:pt idx="3">
                  <c:v>4.1656999999999996E-3</c:v>
                </c:pt>
                <c:pt idx="4">
                  <c:v>3.3646000000000001E-3</c:v>
                </c:pt>
                <c:pt idx="5">
                  <c:v>3.8452999999999998E-3</c:v>
                </c:pt>
                <c:pt idx="6">
                  <c:v>3.2044E-3</c:v>
                </c:pt>
                <c:pt idx="7">
                  <c:v>8.5717999999999992E-3</c:v>
                </c:pt>
                <c:pt idx="8">
                  <c:v>7.6505000000000002E-3</c:v>
                </c:pt>
                <c:pt idx="9">
                  <c:v>8.2512999999999996E-3</c:v>
                </c:pt>
                <c:pt idx="10">
                  <c:v>7.8507999999999998E-3</c:v>
                </c:pt>
                <c:pt idx="11">
                  <c:v>8.4916000000000002E-3</c:v>
                </c:pt>
                <c:pt idx="12">
                  <c:v>8.3313999999999992E-3</c:v>
                </c:pt>
                <c:pt idx="13">
                  <c:v>1.1535999999999999E-2</c:v>
                </c:pt>
                <c:pt idx="14">
                  <c:v>3.653E-2</c:v>
                </c:pt>
                <c:pt idx="15">
                  <c:v>8.8441000000000006E-2</c:v>
                </c:pt>
                <c:pt idx="16">
                  <c:v>0.16622999999999999</c:v>
                </c:pt>
                <c:pt idx="17">
                  <c:v>0.28231000000000001</c:v>
                </c:pt>
                <c:pt idx="18">
                  <c:v>0.48074</c:v>
                </c:pt>
                <c:pt idx="19">
                  <c:v>0.74626000000000003</c:v>
                </c:pt>
                <c:pt idx="20">
                  <c:v>1.0136000000000001</c:v>
                </c:pt>
                <c:pt idx="21">
                  <c:v>1.3829</c:v>
                </c:pt>
                <c:pt idx="22">
                  <c:v>1.7921</c:v>
                </c:pt>
                <c:pt idx="23">
                  <c:v>2.2601</c:v>
                </c:pt>
                <c:pt idx="24">
                  <c:v>2.8437999999999999</c:v>
                </c:pt>
                <c:pt idx="25">
                  <c:v>3.5691000000000002</c:v>
                </c:pt>
                <c:pt idx="26">
                  <c:v>4.3887</c:v>
                </c:pt>
                <c:pt idx="27">
                  <c:v>5.1369999999999996</c:v>
                </c:pt>
                <c:pt idx="28">
                  <c:v>5.9070999999999998</c:v>
                </c:pt>
                <c:pt idx="29">
                  <c:v>6.6817000000000002</c:v>
                </c:pt>
                <c:pt idx="30">
                  <c:v>7.5701999999999998</c:v>
                </c:pt>
                <c:pt idx="31">
                  <c:v>8.4702000000000002</c:v>
                </c:pt>
                <c:pt idx="32">
                  <c:v>9.3773</c:v>
                </c:pt>
                <c:pt idx="33">
                  <c:v>10.301</c:v>
                </c:pt>
                <c:pt idx="34">
                  <c:v>11.148999999999999</c:v>
                </c:pt>
                <c:pt idx="35">
                  <c:v>12.178000000000001</c:v>
                </c:pt>
                <c:pt idx="36">
                  <c:v>13.061</c:v>
                </c:pt>
                <c:pt idx="37">
                  <c:v>14.141</c:v>
                </c:pt>
                <c:pt idx="38">
                  <c:v>15.183999999999999</c:v>
                </c:pt>
                <c:pt idx="39">
                  <c:v>16.414000000000001</c:v>
                </c:pt>
                <c:pt idx="40">
                  <c:v>17.314</c:v>
                </c:pt>
                <c:pt idx="41">
                  <c:v>18.404</c:v>
                </c:pt>
                <c:pt idx="42">
                  <c:v>19.811</c:v>
                </c:pt>
                <c:pt idx="43">
                  <c:v>20.984999999999999</c:v>
                </c:pt>
                <c:pt idx="44">
                  <c:v>22.097000000000001</c:v>
                </c:pt>
                <c:pt idx="45">
                  <c:v>23.163</c:v>
                </c:pt>
                <c:pt idx="46">
                  <c:v>24.22</c:v>
                </c:pt>
                <c:pt idx="47">
                  <c:v>25.471</c:v>
                </c:pt>
                <c:pt idx="48">
                  <c:v>26.864000000000001</c:v>
                </c:pt>
                <c:pt idx="49">
                  <c:v>27.850999999999999</c:v>
                </c:pt>
                <c:pt idx="50">
                  <c:v>28.971</c:v>
                </c:pt>
                <c:pt idx="51">
                  <c:v>30.331</c:v>
                </c:pt>
                <c:pt idx="52">
                  <c:v>32.006</c:v>
                </c:pt>
                <c:pt idx="53">
                  <c:v>33.155000000000001</c:v>
                </c:pt>
                <c:pt idx="54">
                  <c:v>34.32</c:v>
                </c:pt>
                <c:pt idx="55">
                  <c:v>35.552999999999997</c:v>
                </c:pt>
                <c:pt idx="56">
                  <c:v>36.890999999999998</c:v>
                </c:pt>
                <c:pt idx="57">
                  <c:v>38.298999999999999</c:v>
                </c:pt>
                <c:pt idx="58">
                  <c:v>39.265000000000001</c:v>
                </c:pt>
                <c:pt idx="59">
                  <c:v>40.465000000000003</c:v>
                </c:pt>
                <c:pt idx="60">
                  <c:v>41.451999999999998</c:v>
                </c:pt>
                <c:pt idx="61">
                  <c:v>42.79</c:v>
                </c:pt>
                <c:pt idx="62">
                  <c:v>44.365000000000002</c:v>
                </c:pt>
                <c:pt idx="63">
                  <c:v>46.088000000000001</c:v>
                </c:pt>
                <c:pt idx="64">
                  <c:v>47.828000000000003</c:v>
                </c:pt>
                <c:pt idx="65">
                  <c:v>49.258000000000003</c:v>
                </c:pt>
                <c:pt idx="66">
                  <c:v>50.552</c:v>
                </c:pt>
                <c:pt idx="67">
                  <c:v>51.655999999999999</c:v>
                </c:pt>
                <c:pt idx="68">
                  <c:v>53.100999999999999</c:v>
                </c:pt>
                <c:pt idx="69">
                  <c:v>54.36</c:v>
                </c:pt>
                <c:pt idx="70">
                  <c:v>55.51</c:v>
                </c:pt>
                <c:pt idx="71">
                  <c:v>56.938000000000002</c:v>
                </c:pt>
                <c:pt idx="72">
                  <c:v>58.18</c:v>
                </c:pt>
                <c:pt idx="73">
                  <c:v>59.472999999999999</c:v>
                </c:pt>
                <c:pt idx="74">
                  <c:v>61.250999999999998</c:v>
                </c:pt>
                <c:pt idx="75">
                  <c:v>62.691000000000003</c:v>
                </c:pt>
                <c:pt idx="76">
                  <c:v>64.447999999999993</c:v>
                </c:pt>
              </c:numCache>
            </c:numRef>
          </c:yVal>
        </c:ser>
        <c:ser>
          <c:idx val="1"/>
          <c:order val="1"/>
          <c:tx>
            <c:v>dry curve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lvtemporary_133125!$I$2:$I$43</c:f>
              <c:numCache>
                <c:formatCode>General</c:formatCode>
                <c:ptCount val="42"/>
                <c:pt idx="0">
                  <c:v>0</c:v>
                </c:pt>
                <c:pt idx="1">
                  <c:v>5.2608999999999998E-3</c:v>
                </c:pt>
                <c:pt idx="2">
                  <c:v>2.9056999999999999E-2</c:v>
                </c:pt>
                <c:pt idx="3">
                  <c:v>6.6328999999999999E-2</c:v>
                </c:pt>
                <c:pt idx="4">
                  <c:v>0.10390000000000001</c:v>
                </c:pt>
                <c:pt idx="5">
                  <c:v>0.14093</c:v>
                </c:pt>
                <c:pt idx="6">
                  <c:v>0.17846000000000001</c:v>
                </c:pt>
                <c:pt idx="7">
                  <c:v>0.21582000000000001</c:v>
                </c:pt>
                <c:pt idx="8">
                  <c:v>0.25297999999999998</c:v>
                </c:pt>
                <c:pt idx="9">
                  <c:v>0.29021000000000002</c:v>
                </c:pt>
                <c:pt idx="10">
                  <c:v>0.32858999999999999</c:v>
                </c:pt>
                <c:pt idx="11">
                  <c:v>0.36537999999999998</c:v>
                </c:pt>
                <c:pt idx="12">
                  <c:v>0.40218999999999999</c:v>
                </c:pt>
                <c:pt idx="13">
                  <c:v>0.43976999999999999</c:v>
                </c:pt>
                <c:pt idx="14">
                  <c:v>0.47604999999999997</c:v>
                </c:pt>
                <c:pt idx="15">
                  <c:v>0.51407000000000003</c:v>
                </c:pt>
                <c:pt idx="16">
                  <c:v>0.55118</c:v>
                </c:pt>
                <c:pt idx="17">
                  <c:v>0.58830000000000005</c:v>
                </c:pt>
                <c:pt idx="18">
                  <c:v>0.62733000000000005</c:v>
                </c:pt>
                <c:pt idx="19">
                  <c:v>0.66273000000000004</c:v>
                </c:pt>
                <c:pt idx="20">
                  <c:v>0.70140999999999998</c:v>
                </c:pt>
                <c:pt idx="21">
                  <c:v>0.73658000000000001</c:v>
                </c:pt>
                <c:pt idx="22">
                  <c:v>0.77464</c:v>
                </c:pt>
                <c:pt idx="23">
                  <c:v>0.81206999999999996</c:v>
                </c:pt>
                <c:pt idx="24">
                  <c:v>0.84848999999999997</c:v>
                </c:pt>
                <c:pt idx="25">
                  <c:v>0.88626000000000005</c:v>
                </c:pt>
                <c:pt idx="26">
                  <c:v>0.92330000000000001</c:v>
                </c:pt>
                <c:pt idx="27">
                  <c:v>0.96004999999999996</c:v>
                </c:pt>
                <c:pt idx="28">
                  <c:v>0.99885000000000002</c:v>
                </c:pt>
                <c:pt idx="29">
                  <c:v>1.0349999999999999</c:v>
                </c:pt>
                <c:pt idx="30">
                  <c:v>1.0732999999999999</c:v>
                </c:pt>
                <c:pt idx="31">
                  <c:v>1.1095999999999999</c:v>
                </c:pt>
                <c:pt idx="32">
                  <c:v>1.1504000000000001</c:v>
                </c:pt>
                <c:pt idx="33">
                  <c:v>1.1856</c:v>
                </c:pt>
                <c:pt idx="34">
                  <c:v>1.2216</c:v>
                </c:pt>
                <c:pt idx="35">
                  <c:v>1.2605</c:v>
                </c:pt>
                <c:pt idx="36">
                  <c:v>1.298</c:v>
                </c:pt>
                <c:pt idx="37">
                  <c:v>1.3331</c:v>
                </c:pt>
                <c:pt idx="38">
                  <c:v>1.3715999999999999</c:v>
                </c:pt>
                <c:pt idx="39">
                  <c:v>1.4123000000000001</c:v>
                </c:pt>
                <c:pt idx="40">
                  <c:v>1.4456</c:v>
                </c:pt>
                <c:pt idx="41">
                  <c:v>1.4825999999999999</c:v>
                </c:pt>
              </c:numCache>
            </c:numRef>
          </c:xVal>
          <c:yVal>
            <c:numRef>
              <c:f>lvtemporary_133125!$J$2:$J$43</c:f>
              <c:numCache>
                <c:formatCode>General</c:formatCode>
                <c:ptCount val="42"/>
                <c:pt idx="0">
                  <c:v>0</c:v>
                </c:pt>
                <c:pt idx="1">
                  <c:v>0.11967999999999999</c:v>
                </c:pt>
                <c:pt idx="2">
                  <c:v>0.68622000000000005</c:v>
                </c:pt>
                <c:pt idx="3">
                  <c:v>1.5384</c:v>
                </c:pt>
                <c:pt idx="4">
                  <c:v>2.3073999999999999</c:v>
                </c:pt>
                <c:pt idx="5">
                  <c:v>2.9184000000000001</c:v>
                </c:pt>
                <c:pt idx="6">
                  <c:v>3.3281000000000001</c:v>
                </c:pt>
                <c:pt idx="7">
                  <c:v>3.6004999999999998</c:v>
                </c:pt>
                <c:pt idx="8">
                  <c:v>3.8239999999999998</c:v>
                </c:pt>
                <c:pt idx="9">
                  <c:v>4.1069000000000004</c:v>
                </c:pt>
                <c:pt idx="10">
                  <c:v>4.5297000000000001</c:v>
                </c:pt>
                <c:pt idx="11">
                  <c:v>5.0941999999999998</c:v>
                </c:pt>
                <c:pt idx="12">
                  <c:v>5.8480999999999996</c:v>
                </c:pt>
                <c:pt idx="13">
                  <c:v>6.7728999999999999</c:v>
                </c:pt>
                <c:pt idx="14">
                  <c:v>7.8163</c:v>
                </c:pt>
                <c:pt idx="15">
                  <c:v>9.0007999999999999</c:v>
                </c:pt>
                <c:pt idx="16">
                  <c:v>10.314</c:v>
                </c:pt>
                <c:pt idx="17">
                  <c:v>11.771000000000001</c:v>
                </c:pt>
                <c:pt idx="18">
                  <c:v>13.208</c:v>
                </c:pt>
                <c:pt idx="19">
                  <c:v>14.831</c:v>
                </c:pt>
                <c:pt idx="20">
                  <c:v>16.495999999999999</c:v>
                </c:pt>
                <c:pt idx="21">
                  <c:v>18.356000000000002</c:v>
                </c:pt>
                <c:pt idx="22">
                  <c:v>20.178000000000001</c:v>
                </c:pt>
                <c:pt idx="23">
                  <c:v>21.995000000000001</c:v>
                </c:pt>
                <c:pt idx="24">
                  <c:v>23.791</c:v>
                </c:pt>
                <c:pt idx="25">
                  <c:v>25.8</c:v>
                </c:pt>
                <c:pt idx="26">
                  <c:v>27.634</c:v>
                </c:pt>
                <c:pt idx="27">
                  <c:v>29.672000000000001</c:v>
                </c:pt>
                <c:pt idx="28">
                  <c:v>32.164999999999999</c:v>
                </c:pt>
                <c:pt idx="29">
                  <c:v>34.07</c:v>
                </c:pt>
                <c:pt idx="30">
                  <c:v>36.484999999999999</c:v>
                </c:pt>
                <c:pt idx="31">
                  <c:v>38.765000000000001</c:v>
                </c:pt>
                <c:pt idx="32">
                  <c:v>40.887</c:v>
                </c:pt>
                <c:pt idx="33">
                  <c:v>43.026000000000003</c:v>
                </c:pt>
                <c:pt idx="34">
                  <c:v>45.673999999999999</c:v>
                </c:pt>
                <c:pt idx="35">
                  <c:v>48.426000000000002</c:v>
                </c:pt>
                <c:pt idx="36">
                  <c:v>50.529000000000003</c:v>
                </c:pt>
                <c:pt idx="37">
                  <c:v>53.03</c:v>
                </c:pt>
                <c:pt idx="38">
                  <c:v>55.540999999999997</c:v>
                </c:pt>
                <c:pt idx="39">
                  <c:v>57.77</c:v>
                </c:pt>
                <c:pt idx="40">
                  <c:v>60.426000000000002</c:v>
                </c:pt>
                <c:pt idx="41">
                  <c:v>63.244999999999997</c:v>
                </c:pt>
              </c:numCache>
            </c:numRef>
          </c:yVal>
        </c:ser>
        <c:dLbls/>
        <c:axId val="64884096"/>
        <c:axId val="64910848"/>
      </c:scatterChart>
      <c:valAx>
        <c:axId val="6488409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Pressure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910848"/>
        <c:crosses val="autoZero"/>
        <c:crossBetween val="midCat"/>
      </c:valAx>
      <c:valAx>
        <c:axId val="6491084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flow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8840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2.8705245817401432E-2"/>
                  <c:y val="5.738748893302025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lvtemporary_133125!$E$65:$E$78</c:f>
              <c:numCache>
                <c:formatCode>General</c:formatCode>
                <c:ptCount val="14"/>
                <c:pt idx="0">
                  <c:v>9.0751689644903002E-2</c:v>
                </c:pt>
                <c:pt idx="1">
                  <c:v>9.7569639431371286E-2</c:v>
                </c:pt>
                <c:pt idx="2">
                  <c:v>0.10476016663852508</c:v>
                </c:pt>
                <c:pt idx="3">
                  <c:v>0.11146415158665396</c:v>
                </c:pt>
                <c:pt idx="4">
                  <c:v>0.11763581738949418</c:v>
                </c:pt>
                <c:pt idx="5">
                  <c:v>0.12469980893211759</c:v>
                </c:pt>
                <c:pt idx="6">
                  <c:v>0.1308160500347442</c:v>
                </c:pt>
                <c:pt idx="7">
                  <c:v>0.13741741499039214</c:v>
                </c:pt>
                <c:pt idx="8">
                  <c:v>0.14432507840048833</c:v>
                </c:pt>
                <c:pt idx="9">
                  <c:v>0.15026508697870372</c:v>
                </c:pt>
                <c:pt idx="10">
                  <c:v>0.15609463063942761</c:v>
                </c:pt>
                <c:pt idx="11">
                  <c:v>0.16154767312572746</c:v>
                </c:pt>
                <c:pt idx="12">
                  <c:v>0.16746502884308812</c:v>
                </c:pt>
                <c:pt idx="13">
                  <c:v>0.17356501785866163</c:v>
                </c:pt>
              </c:numCache>
            </c:numRef>
          </c:xVal>
          <c:yVal>
            <c:numRef>
              <c:f>lvtemporary_133125!$F$65:$F$78</c:f>
              <c:numCache>
                <c:formatCode>General</c:formatCode>
                <c:ptCount val="14"/>
                <c:pt idx="0">
                  <c:v>1.6635878622184703</c:v>
                </c:pt>
                <c:pt idx="1">
                  <c:v>1.679682220572482</c:v>
                </c:pt>
                <c:pt idx="2">
                  <c:v>1.6924767744012366</c:v>
                </c:pt>
                <c:pt idx="3">
                  <c:v>1.7037383423559316</c:v>
                </c:pt>
                <c:pt idx="4">
                  <c:v>1.7131207733977831</c:v>
                </c:pt>
                <c:pt idx="5">
                  <c:v>1.725102699808259</c:v>
                </c:pt>
                <c:pt idx="6">
                  <c:v>1.7352794480604568</c:v>
                </c:pt>
                <c:pt idx="7">
                  <c:v>1.7443712273318606</c:v>
                </c:pt>
                <c:pt idx="8">
                  <c:v>1.7554022080828255</c:v>
                </c:pt>
                <c:pt idx="9">
                  <c:v>1.7647737169110405</c:v>
                </c:pt>
                <c:pt idx="10">
                  <c:v>1.7743198461936518</c:v>
                </c:pt>
                <c:pt idx="11">
                  <c:v>1.7871131835008425</c:v>
                </c:pt>
                <c:pt idx="12">
                  <c:v>1.7972051974353558</c:v>
                </c:pt>
                <c:pt idx="13">
                  <c:v>1.8092094445375051</c:v>
                </c:pt>
              </c:numCache>
            </c:numRef>
          </c:yVal>
        </c:ser>
        <c:dLbls/>
        <c:axId val="64932096"/>
        <c:axId val="65024384"/>
      </c:scatterChart>
      <c:valAx>
        <c:axId val="6493209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log flow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024384"/>
        <c:crosses val="autoZero"/>
        <c:crossBetween val="midCat"/>
      </c:valAx>
      <c:valAx>
        <c:axId val="6502438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log P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9320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5.0852152715739028E-2"/>
                  <c:y val="-1.226384036228181E-2"/>
                </c:manualLayout>
              </c:layout>
              <c:numFmt formatCode="General" sourceLinked="0"/>
            </c:trendlineLbl>
          </c:trendline>
          <c:xVal>
            <c:numRef>
              <c:f>lvtemporary_133125!$E$39:$E$78</c:f>
              <c:numCache>
                <c:formatCode>General</c:formatCode>
                <c:ptCount val="40"/>
                <c:pt idx="0">
                  <c:v>-0.14491717506070081</c:v>
                </c:pt>
                <c:pt idx="1">
                  <c:v>-0.13337599164187483</c:v>
                </c:pt>
                <c:pt idx="2">
                  <c:v>-0.12154140009251216</c:v>
                </c:pt>
                <c:pt idx="3">
                  <c:v>-0.11063666007042358</c:v>
                </c:pt>
                <c:pt idx="4">
                  <c:v>-9.9671112792842395E-2</c:v>
                </c:pt>
                <c:pt idx="5">
                  <c:v>-8.853875772724859E-2</c:v>
                </c:pt>
                <c:pt idx="6">
                  <c:v>-7.8235514550274374E-2</c:v>
                </c:pt>
                <c:pt idx="7">
                  <c:v>-6.7820600013159357E-2</c:v>
                </c:pt>
                <c:pt idx="8">
                  <c:v>-5.7773613785961173E-2</c:v>
                </c:pt>
                <c:pt idx="9">
                  <c:v>-4.8555620989454637E-2</c:v>
                </c:pt>
                <c:pt idx="10">
                  <c:v>-3.9020544474423074E-2</c:v>
                </c:pt>
                <c:pt idx="11">
                  <c:v>-2.9606627920399843E-2</c:v>
                </c:pt>
                <c:pt idx="12">
                  <c:v>-1.9896593041855801E-2</c:v>
                </c:pt>
                <c:pt idx="13">
                  <c:v>-1.1062203977247475E-2</c:v>
                </c:pt>
                <c:pt idx="14">
                  <c:v>-2.1812840448705291E-3</c:v>
                </c:pt>
                <c:pt idx="15">
                  <c:v>6.3804585496930744E-3</c:v>
                </c:pt>
                <c:pt idx="16">
                  <c:v>1.4982308585481911E-2</c:v>
                </c:pt>
                <c:pt idx="17">
                  <c:v>2.2634539944119035E-2</c:v>
                </c:pt>
                <c:pt idx="18">
                  <c:v>3.0963842378275225E-2</c:v>
                </c:pt>
                <c:pt idx="19">
                  <c:v>3.8739348104748918E-2</c:v>
                </c:pt>
                <c:pt idx="20">
                  <c:v>4.6729222266486861E-2</c:v>
                </c:pt>
                <c:pt idx="21">
                  <c:v>5.4191576796431794E-2</c:v>
                </c:pt>
                <c:pt idx="22">
                  <c:v>6.3746061613443442E-2</c:v>
                </c:pt>
                <c:pt idx="23">
                  <c:v>7.0813359702715475E-2</c:v>
                </c:pt>
                <c:pt idx="24">
                  <c:v>7.693157455565551E-2</c:v>
                </c:pt>
                <c:pt idx="25">
                  <c:v>8.4147133154448314E-2</c:v>
                </c:pt>
                <c:pt idx="26">
                  <c:v>9.0751689644903002E-2</c:v>
                </c:pt>
                <c:pt idx="27">
                  <c:v>9.7569639431371286E-2</c:v>
                </c:pt>
                <c:pt idx="28">
                  <c:v>0.10476016663852508</c:v>
                </c:pt>
                <c:pt idx="29">
                  <c:v>0.11146415158665396</c:v>
                </c:pt>
                <c:pt idx="30">
                  <c:v>0.11763581738949418</c:v>
                </c:pt>
                <c:pt idx="31">
                  <c:v>0.12469980893211759</c:v>
                </c:pt>
                <c:pt idx="32">
                  <c:v>0.1308160500347442</c:v>
                </c:pt>
                <c:pt idx="33">
                  <c:v>0.13741741499039214</c:v>
                </c:pt>
                <c:pt idx="34">
                  <c:v>0.14432507840048833</c:v>
                </c:pt>
                <c:pt idx="35">
                  <c:v>0.15026508697870372</c:v>
                </c:pt>
                <c:pt idx="36">
                  <c:v>0.15609463063942761</c:v>
                </c:pt>
                <c:pt idx="37">
                  <c:v>0.16154767312572746</c:v>
                </c:pt>
                <c:pt idx="38">
                  <c:v>0.16746502884308812</c:v>
                </c:pt>
                <c:pt idx="39">
                  <c:v>0.17356501785866163</c:v>
                </c:pt>
              </c:numCache>
            </c:numRef>
          </c:xVal>
          <c:yVal>
            <c:numRef>
              <c:f>lvtemporary_133125!$F$39:$F$78</c:f>
              <c:numCache>
                <c:formatCode>General</c:formatCode>
                <c:ptCount val="40"/>
                <c:pt idx="0">
                  <c:v>1.1504801222703347</c:v>
                </c:pt>
                <c:pt idx="1">
                  <c:v>1.1813861950832174</c:v>
                </c:pt>
                <c:pt idx="2">
                  <c:v>1.2152144290872275</c:v>
                </c:pt>
                <c:pt idx="3">
                  <c:v>1.2383974131812707</c:v>
                </c:pt>
                <c:pt idx="4">
                  <c:v>1.2649122245927586</c:v>
                </c:pt>
                <c:pt idx="5">
                  <c:v>1.2969063979777584</c:v>
                </c:pt>
                <c:pt idx="6">
                  <c:v>1.3219089735475089</c:v>
                </c:pt>
                <c:pt idx="7">
                  <c:v>1.3443333156812773</c:v>
                </c:pt>
                <c:pt idx="8">
                  <c:v>1.3647948071741098</c:v>
                </c:pt>
                <c:pt idx="9">
                  <c:v>1.3841741388070334</c:v>
                </c:pt>
                <c:pt idx="10">
                  <c:v>1.4060459958453002</c:v>
                </c:pt>
                <c:pt idx="11">
                  <c:v>1.4291706787939735</c:v>
                </c:pt>
                <c:pt idx="12">
                  <c:v>1.4448407932865901</c:v>
                </c:pt>
                <c:pt idx="13">
                  <c:v>1.4619634861249384</c:v>
                </c:pt>
                <c:pt idx="14">
                  <c:v>1.4818867290486317</c:v>
                </c:pt>
                <c:pt idx="15">
                  <c:v>1.5052314009021344</c:v>
                </c:pt>
                <c:pt idx="16">
                  <c:v>1.5205490322480277</c:v>
                </c:pt>
                <c:pt idx="17">
                  <c:v>1.5355472791766678</c:v>
                </c:pt>
                <c:pt idx="18">
                  <c:v>1.5508762528428546</c:v>
                </c:pt>
                <c:pt idx="19">
                  <c:v>1.5669204277558266</c:v>
                </c:pt>
                <c:pt idx="20">
                  <c:v>1.583187434539076</c:v>
                </c:pt>
                <c:pt idx="21">
                  <c:v>1.5940056017883415</c:v>
                </c:pt>
                <c:pt idx="22">
                  <c:v>1.6070795447285711</c:v>
                </c:pt>
                <c:pt idx="23">
                  <c:v>1.6175454894824173</c:v>
                </c:pt>
                <c:pt idx="24">
                  <c:v>1.6313422864839329</c:v>
                </c:pt>
                <c:pt idx="25">
                  <c:v>1.6470404858549599</c:v>
                </c:pt>
                <c:pt idx="26">
                  <c:v>1.6635878622184703</c:v>
                </c:pt>
                <c:pt idx="27">
                  <c:v>1.679682220572482</c:v>
                </c:pt>
                <c:pt idx="28">
                  <c:v>1.6924767744012366</c:v>
                </c:pt>
                <c:pt idx="29">
                  <c:v>1.7037383423559316</c:v>
                </c:pt>
                <c:pt idx="30">
                  <c:v>1.7131207733977831</c:v>
                </c:pt>
                <c:pt idx="31">
                  <c:v>1.725102699808259</c:v>
                </c:pt>
                <c:pt idx="32">
                  <c:v>1.7352794480604568</c:v>
                </c:pt>
                <c:pt idx="33">
                  <c:v>1.7443712273318606</c:v>
                </c:pt>
                <c:pt idx="34">
                  <c:v>1.7554022080828255</c:v>
                </c:pt>
                <c:pt idx="35">
                  <c:v>1.7647737169110405</c:v>
                </c:pt>
                <c:pt idx="36">
                  <c:v>1.7743198461936518</c:v>
                </c:pt>
                <c:pt idx="37">
                  <c:v>1.7871131835008425</c:v>
                </c:pt>
                <c:pt idx="38">
                  <c:v>1.7972051974353558</c:v>
                </c:pt>
                <c:pt idx="39">
                  <c:v>1.8092094445375051</c:v>
                </c:pt>
              </c:numCache>
            </c:numRef>
          </c:yVal>
        </c:ser>
        <c:dLbls/>
        <c:axId val="84118912"/>
        <c:axId val="84117376"/>
      </c:scatterChart>
      <c:valAx>
        <c:axId val="841189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 p [bar]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84117376"/>
        <c:crosses val="autoZero"/>
        <c:crossBetween val="midCat"/>
      </c:valAx>
      <c:valAx>
        <c:axId val="8411737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 flow [l/min]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8411891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tx>
            <c:v>FC-43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'film thickness'!$I$9:$I$80</c:f>
              <c:numCache>
                <c:formatCode>General</c:formatCode>
                <c:ptCount val="72"/>
                <c:pt idx="0">
                  <c:v>3.9036542031573189</c:v>
                </c:pt>
                <c:pt idx="1">
                  <c:v>3.9995089697510795</c:v>
                </c:pt>
                <c:pt idx="2">
                  <c:v>4.0805182605271177</c:v>
                </c:pt>
                <c:pt idx="3">
                  <c:v>4.1457866701741546</c:v>
                </c:pt>
                <c:pt idx="4">
                  <c:v>4.2032505239432956</c:v>
                </c:pt>
                <c:pt idx="5">
                  <c:v>4.2542821504508312</c:v>
                </c:pt>
                <c:pt idx="6">
                  <c:v>4.299267531608602</c:v>
                </c:pt>
                <c:pt idx="7">
                  <c:v>4.3401663948860767</c:v>
                </c:pt>
                <c:pt idx="8">
                  <c:v>4.3792511141993193</c:v>
                </c:pt>
                <c:pt idx="9">
                  <c:v>4.413148824714316</c:v>
                </c:pt>
                <c:pt idx="10">
                  <c:v>4.4450746327749302</c:v>
                </c:pt>
                <c:pt idx="11">
                  <c:v>4.4751188911276669</c:v>
                </c:pt>
                <c:pt idx="12">
                  <c:v>4.5025773216586256</c:v>
                </c:pt>
                <c:pt idx="13">
                  <c:v>4.528788191774896</c:v>
                </c:pt>
                <c:pt idx="14">
                  <c:v>4.5547071610869061</c:v>
                </c:pt>
                <c:pt idx="15">
                  <c:v>4.5775951909773172</c:v>
                </c:pt>
                <c:pt idx="16">
                  <c:v>4.5995555909859807</c:v>
                </c:pt>
                <c:pt idx="17">
                  <c:v>4.6212386162222252</c:v>
                </c:pt>
                <c:pt idx="18">
                  <c:v>4.6408489906785668</c:v>
                </c:pt>
                <c:pt idx="19">
                  <c:v>4.6605714236961155</c:v>
                </c:pt>
                <c:pt idx="20">
                  <c:v>4.6790188494009755</c:v>
                </c:pt>
                <c:pt idx="21">
                  <c:v>4.6960854163098249</c:v>
                </c:pt>
                <c:pt idx="22">
                  <c:v>4.7149999674120426</c:v>
                </c:pt>
                <c:pt idx="23">
                  <c:v>4.7302976620971497</c:v>
                </c:pt>
                <c:pt idx="24">
                  <c:v>4.7454495603226183</c:v>
                </c:pt>
                <c:pt idx="25">
                  <c:v>4.7612811751183441</c:v>
                </c:pt>
                <c:pt idx="26">
                  <c:v>4.7757997052798498</c:v>
                </c:pt>
                <c:pt idx="27">
                  <c:v>4.7907494770997676</c:v>
                </c:pt>
                <c:pt idx="28">
                  <c:v>4.8039484916939355</c:v>
                </c:pt>
                <c:pt idx="29">
                  <c:v>4.8169634183731871</c:v>
                </c:pt>
                <c:pt idx="30">
                  <c:v>4.8304090119516001</c:v>
                </c:pt>
                <c:pt idx="31">
                  <c:v>4.8438927529226188</c:v>
                </c:pt>
                <c:pt idx="32">
                  <c:v>4.8555554967817418</c:v>
                </c:pt>
                <c:pt idx="33">
                  <c:v>4.8667538811108582</c:v>
                </c:pt>
                <c:pt idx="34">
                  <c:v>4.8780677319733625</c:v>
                </c:pt>
                <c:pt idx="35">
                  <c:v>4.8901246808164798</c:v>
                </c:pt>
                <c:pt idx="36">
                  <c:v>4.9005965066655994</c:v>
                </c:pt>
                <c:pt idx="37">
                  <c:v>4.9113174423240302</c:v>
                </c:pt>
                <c:pt idx="38">
                  <c:v>4.9219100665725355</c:v>
                </c:pt>
                <c:pt idx="39">
                  <c:v>4.9323063057851897</c:v>
                </c:pt>
                <c:pt idx="40">
                  <c:v>4.941839265799989</c:v>
                </c:pt>
                <c:pt idx="41">
                  <c:v>4.9516822913955512</c:v>
                </c:pt>
                <c:pt idx="42">
                  <c:v>4.9617626996020761</c:v>
                </c:pt>
                <c:pt idx="43">
                  <c:v>4.9706257766882942</c:v>
                </c:pt>
                <c:pt idx="44">
                  <c:v>4.9807621552328847</c:v>
                </c:pt>
                <c:pt idx="45">
                  <c:v>4.988991252585814</c:v>
                </c:pt>
                <c:pt idx="46">
                  <c:v>4.9975087036438346</c:v>
                </c:pt>
                <c:pt idx="47">
                  <c:v>5.0058237530290279</c:v>
                </c:pt>
                <c:pt idx="48">
                  <c:v>5.0147304950017535</c:v>
                </c:pt>
                <c:pt idx="49">
                  <c:v>5.0226757619537272</c:v>
                </c:pt>
                <c:pt idx="50">
                  <c:v>5.0306806639999015</c:v>
                </c:pt>
                <c:pt idx="51">
                  <c:v>5.0410372078670287</c:v>
                </c:pt>
                <c:pt idx="52">
                  <c:v>5.0464951643347087</c:v>
                </c:pt>
                <c:pt idx="53">
                  <c:v>5.0547279320821978</c:v>
                </c:pt>
                <c:pt idx="54">
                  <c:v>5.0622810699726442</c:v>
                </c:pt>
                <c:pt idx="55">
                  <c:v>5.0694460838803126</c:v>
                </c:pt>
                <c:pt idx="56">
                  <c:v>5.0788554029797677</c:v>
                </c:pt>
                <c:pt idx="57">
                  <c:v>5.0838249960533366</c:v>
                </c:pt>
                <c:pt idx="58">
                  <c:v>5.0913855420783678</c:v>
                </c:pt>
                <c:pt idx="59">
                  <c:v>5.0988167170489413</c:v>
                </c:pt>
                <c:pt idx="60">
                  <c:v>5.1045553912405133</c:v>
                </c:pt>
                <c:pt idx="61">
                  <c:v>5.1112625136590655</c:v>
                </c:pt>
                <c:pt idx="62">
                  <c:v>5.1177351793304968</c:v>
                </c:pt>
                <c:pt idx="63">
                  <c:v>5.1246346240191389</c:v>
                </c:pt>
                <c:pt idx="64">
                  <c:v>5.1307517767651429</c:v>
                </c:pt>
                <c:pt idx="65">
                  <c:v>5.1383658636789962</c:v>
                </c:pt>
                <c:pt idx="66">
                  <c:v>5.1433895689946558</c:v>
                </c:pt>
                <c:pt idx="67">
                  <c:v>5.1503265364987074</c:v>
                </c:pt>
                <c:pt idx="68">
                  <c:v>5.1556699817198108</c:v>
                </c:pt>
                <c:pt idx="69">
                  <c:v>5.1620264324211771</c:v>
                </c:pt>
                <c:pt idx="70">
                  <c:v>5.168438552186772</c:v>
                </c:pt>
                <c:pt idx="71">
                  <c:v>5.1735358950099064</c:v>
                </c:pt>
              </c:numCache>
            </c:numRef>
          </c:xVal>
          <c:yVal>
            <c:numRef>
              <c:f>'film thickness'!$J$9:$J$80</c:f>
              <c:numCache>
                <c:formatCode>General</c:formatCode>
                <c:ptCount val="72"/>
                <c:pt idx="0">
                  <c:v>-4.2677541462801578</c:v>
                </c:pt>
                <c:pt idx="1">
                  <c:v>-4.2764696891146183</c:v>
                </c:pt>
                <c:pt idx="2">
                  <c:v>-3.9217454819132214</c:v>
                </c:pt>
                <c:pt idx="3">
                  <c:v>-4.233684630426092</c:v>
                </c:pt>
                <c:pt idx="4">
                  <c:v>-4.3041117702555614</c:v>
                </c:pt>
                <c:pt idx="5">
                  <c:v>-4.2302067136391299</c:v>
                </c:pt>
                <c:pt idx="6">
                  <c:v>-3.9995764021634606</c:v>
                </c:pt>
                <c:pt idx="7">
                  <c:v>-3.5202171012415584</c:v>
                </c:pt>
                <c:pt idx="8">
                  <c:v>-3.1264875032409565</c:v>
                </c:pt>
                <c:pt idx="9">
                  <c:v>-2.8140637087797606</c:v>
                </c:pt>
                <c:pt idx="10">
                  <c:v>-2.5593742856564465</c:v>
                </c:pt>
                <c:pt idx="11">
                  <c:v>-2.3242927052970477</c:v>
                </c:pt>
                <c:pt idx="12">
                  <c:v>-1.2770281682595563</c:v>
                </c:pt>
                <c:pt idx="13">
                  <c:v>-1.2495929193873772</c:v>
                </c:pt>
                <c:pt idx="14">
                  <c:v>-1.2274018622215186</c:v>
                </c:pt>
                <c:pt idx="15">
                  <c:v>-1.2017981466212282</c:v>
                </c:pt>
                <c:pt idx="16">
                  <c:v>-1.187113528667517</c:v>
                </c:pt>
                <c:pt idx="17">
                  <c:v>-1.1788904340961823</c:v>
                </c:pt>
                <c:pt idx="18">
                  <c:v>-1.1748650377465961</c:v>
                </c:pt>
                <c:pt idx="19">
                  <c:v>-1.1701884470021642</c:v>
                </c:pt>
                <c:pt idx="20">
                  <c:v>-1.1672350964363638</c:v>
                </c:pt>
                <c:pt idx="21">
                  <c:v>-1.164346119595119</c:v>
                </c:pt>
                <c:pt idx="22">
                  <c:v>-1.1642918500661907</c:v>
                </c:pt>
                <c:pt idx="23">
                  <c:v>-1.1592412697628376</c:v>
                </c:pt>
                <c:pt idx="24">
                  <c:v>-1.1560773465070242</c:v>
                </c:pt>
                <c:pt idx="25">
                  <c:v>-1.1549304231797264</c:v>
                </c:pt>
                <c:pt idx="26">
                  <c:v>-1.153109285148892</c:v>
                </c:pt>
                <c:pt idx="27">
                  <c:v>-1.151160676486441</c:v>
                </c:pt>
                <c:pt idx="28">
                  <c:v>-1.1479792292681783</c:v>
                </c:pt>
                <c:pt idx="29">
                  <c:v>-1.1454726563224902</c:v>
                </c:pt>
                <c:pt idx="30">
                  <c:v>-1.1433564326270576</c:v>
                </c:pt>
                <c:pt idx="31">
                  <c:v>-1.142580304267061</c:v>
                </c:pt>
                <c:pt idx="32">
                  <c:v>-1.1399223902250046</c:v>
                </c:pt>
                <c:pt idx="33">
                  <c:v>-1.1368326316953759</c:v>
                </c:pt>
                <c:pt idx="34">
                  <c:v>-1.1329763587392174</c:v>
                </c:pt>
                <c:pt idx="35">
                  <c:v>-1.1311004882431421</c:v>
                </c:pt>
                <c:pt idx="36">
                  <c:v>-1.1279517013635929</c:v>
                </c:pt>
                <c:pt idx="37">
                  <c:v>-1.1264482559699043</c:v>
                </c:pt>
                <c:pt idx="38">
                  <c:v>-1.1238638040018807</c:v>
                </c:pt>
                <c:pt idx="39">
                  <c:v>-1.1236406164759813</c:v>
                </c:pt>
                <c:pt idx="40">
                  <c:v>-1.120895565793355</c:v>
                </c:pt>
                <c:pt idx="41">
                  <c:v>-1.1188651507843586</c:v>
                </c:pt>
                <c:pt idx="42">
                  <c:v>-1.1173881135642605</c:v>
                </c:pt>
                <c:pt idx="43">
                  <c:v>-1.1163482965537048</c:v>
                </c:pt>
                <c:pt idx="44">
                  <c:v>-1.114998204840294</c:v>
                </c:pt>
                <c:pt idx="45">
                  <c:v>-1.1112681503832726</c:v>
                </c:pt>
                <c:pt idx="46">
                  <c:v>-1.1081889688224045</c:v>
                </c:pt>
                <c:pt idx="47">
                  <c:v>-1.1055447629024893</c:v>
                </c:pt>
                <c:pt idx="48">
                  <c:v>-1.105082893382616</c:v>
                </c:pt>
                <c:pt idx="49">
                  <c:v>-1.1017196033296111</c:v>
                </c:pt>
                <c:pt idx="50">
                  <c:v>-1.0999995607357609</c:v>
                </c:pt>
                <c:pt idx="51">
                  <c:v>-1.1048758316645091</c:v>
                </c:pt>
                <c:pt idx="52">
                  <c:v>-1.0971184206337339</c:v>
                </c:pt>
                <c:pt idx="53">
                  <c:v>-1.0955772057962365</c:v>
                </c:pt>
                <c:pt idx="54">
                  <c:v>-1.0955213355405522</c:v>
                </c:pt>
                <c:pt idx="55">
                  <c:v>-1.0921101303310905</c:v>
                </c:pt>
                <c:pt idx="56">
                  <c:v>-1.0925366058077879</c:v>
                </c:pt>
                <c:pt idx="57">
                  <c:v>-1.0904870511121829</c:v>
                </c:pt>
                <c:pt idx="58">
                  <c:v>-1.0867242023922394</c:v>
                </c:pt>
                <c:pt idx="59">
                  <c:v>-1.087297432176686</c:v>
                </c:pt>
                <c:pt idx="60">
                  <c:v>-1.0836828582882194</c:v>
                </c:pt>
                <c:pt idx="61">
                  <c:v>-1.0820428712253485</c:v>
                </c:pt>
                <c:pt idx="62">
                  <c:v>-1.0790194545860974</c:v>
                </c:pt>
                <c:pt idx="63">
                  <c:v>-1.0782673916004497</c:v>
                </c:pt>
                <c:pt idx="64">
                  <c:v>-1.0753554204709233</c:v>
                </c:pt>
                <c:pt idx="65">
                  <c:v>-1.0759364978667016</c:v>
                </c:pt>
                <c:pt idx="66">
                  <c:v>-1.0730357785349927</c:v>
                </c:pt>
                <c:pt idx="67">
                  <c:v>-1.0718749563549468</c:v>
                </c:pt>
                <c:pt idx="68">
                  <c:v>-1.0699418112391299</c:v>
                </c:pt>
                <c:pt idx="69">
                  <c:v>-1.0687316691933582</c:v>
                </c:pt>
                <c:pt idx="70">
                  <c:v>-1.0686372266750281</c:v>
                </c:pt>
                <c:pt idx="71">
                  <c:v>-1.0659851038673771</c:v>
                </c:pt>
              </c:numCache>
            </c:numRef>
          </c:yVal>
        </c:ser>
        <c:ser>
          <c:idx val="1"/>
          <c:order val="1"/>
          <c:tx>
            <c:v>Krytox-157 FSH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'film thickness'!$I$89:$I$160</c:f>
              <c:numCache>
                <c:formatCode>General</c:formatCode>
                <c:ptCount val="72"/>
                <c:pt idx="0">
                  <c:v>3.9037843028582979</c:v>
                </c:pt>
                <c:pt idx="1">
                  <c:v>3.9995872241426005</c:v>
                </c:pt>
                <c:pt idx="2">
                  <c:v>4.0799044676667213</c:v>
                </c:pt>
                <c:pt idx="3">
                  <c:v>4.146252102092995</c:v>
                </c:pt>
                <c:pt idx="4">
                  <c:v>4.2039570916812439</c:v>
                </c:pt>
                <c:pt idx="5">
                  <c:v>4.2545722441873535</c:v>
                </c:pt>
                <c:pt idx="6">
                  <c:v>4.3003128179343699</c:v>
                </c:pt>
                <c:pt idx="7">
                  <c:v>4.3414345245781405</c:v>
                </c:pt>
                <c:pt idx="8">
                  <c:v>4.3787430188130196</c:v>
                </c:pt>
                <c:pt idx="9">
                  <c:v>4.4131152755075096</c:v>
                </c:pt>
                <c:pt idx="10">
                  <c:v>4.4448407932865903</c:v>
                </c:pt>
                <c:pt idx="11">
                  <c:v>4.4745658906738877</c:v>
                </c:pt>
                <c:pt idx="12">
                  <c:v>4.503600041761465</c:v>
                </c:pt>
                <c:pt idx="13">
                  <c:v>4.529032325426976</c:v>
                </c:pt>
                <c:pt idx="14">
                  <c:v>4.5560611590095323</c:v>
                </c:pt>
                <c:pt idx="15">
                  <c:v>4.578455827939842</c:v>
                </c:pt>
                <c:pt idx="16">
                  <c:v>4.60009034911341</c:v>
                </c:pt>
                <c:pt idx="17">
                  <c:v>4.6211555016376167</c:v>
                </c:pt>
                <c:pt idx="18">
                  <c:v>4.6420389208206192</c:v>
                </c:pt>
                <c:pt idx="19">
                  <c:v>4.6605524456117786</c:v>
                </c:pt>
                <c:pt idx="20">
                  <c:v>4.6802266994961164</c:v>
                </c:pt>
                <c:pt idx="21">
                  <c:v>4.6974647398167093</c:v>
                </c:pt>
                <c:pt idx="22">
                  <c:v>4.7146985019464545</c:v>
                </c:pt>
                <c:pt idx="23">
                  <c:v>4.7307015442818452</c:v>
                </c:pt>
                <c:pt idx="24">
                  <c:v>4.7462137104600925</c:v>
                </c:pt>
                <c:pt idx="25">
                  <c:v>4.7608746380521891</c:v>
                </c:pt>
                <c:pt idx="26">
                  <c:v>4.7755449166528718</c:v>
                </c:pt>
                <c:pt idx="27">
                  <c:v>4.7887409227663857</c:v>
                </c:pt>
                <c:pt idx="28">
                  <c:v>4.8042825827454481</c:v>
                </c:pt>
                <c:pt idx="29">
                  <c:v>4.8171354895791429</c:v>
                </c:pt>
                <c:pt idx="30">
                  <c:v>4.8305886686851442</c:v>
                </c:pt>
                <c:pt idx="31">
                  <c:v>4.8423845464183968</c:v>
                </c:pt>
                <c:pt idx="32">
                  <c:v>4.8550828249392994</c:v>
                </c:pt>
                <c:pt idx="33">
                  <c:v>4.8666240083581256</c:v>
                </c:pt>
                <c:pt idx="34">
                  <c:v>4.8784585999074883</c:v>
                </c:pt>
                <c:pt idx="35">
                  <c:v>4.8893633399295764</c:v>
                </c:pt>
                <c:pt idx="36">
                  <c:v>4.9003288872071575</c:v>
                </c:pt>
                <c:pt idx="37">
                  <c:v>4.9114612422727513</c:v>
                </c:pt>
                <c:pt idx="38">
                  <c:v>4.9217644854497253</c:v>
                </c:pt>
                <c:pt idx="39">
                  <c:v>4.9321793999868406</c:v>
                </c:pt>
                <c:pt idx="40">
                  <c:v>4.9422263862140392</c:v>
                </c:pt>
                <c:pt idx="41">
                  <c:v>4.9514443790105451</c:v>
                </c:pt>
                <c:pt idx="42">
                  <c:v>4.9609794555255773</c:v>
                </c:pt>
                <c:pt idx="43">
                  <c:v>4.9703933720796005</c:v>
                </c:pt>
                <c:pt idx="44">
                  <c:v>4.9801034069581442</c:v>
                </c:pt>
                <c:pt idx="45">
                  <c:v>4.9889377960227526</c:v>
                </c:pt>
                <c:pt idx="46">
                  <c:v>4.9978187159551295</c:v>
                </c:pt>
                <c:pt idx="47">
                  <c:v>5.0063804585496934</c:v>
                </c:pt>
                <c:pt idx="48">
                  <c:v>5.0149823085854823</c:v>
                </c:pt>
                <c:pt idx="49">
                  <c:v>5.0226345399441188</c:v>
                </c:pt>
                <c:pt idx="50">
                  <c:v>5.0309638423782754</c:v>
                </c:pt>
                <c:pt idx="51">
                  <c:v>5.0387393481047491</c:v>
                </c:pt>
                <c:pt idx="52">
                  <c:v>5.046729222266487</c:v>
                </c:pt>
                <c:pt idx="53">
                  <c:v>5.0541915767964323</c:v>
                </c:pt>
                <c:pt idx="54">
                  <c:v>5.0637460616134433</c:v>
                </c:pt>
                <c:pt idx="55">
                  <c:v>5.0708133597027159</c:v>
                </c:pt>
                <c:pt idx="56">
                  <c:v>5.0769315745556556</c:v>
                </c:pt>
                <c:pt idx="57">
                  <c:v>5.0841471331544481</c:v>
                </c:pt>
                <c:pt idx="58">
                  <c:v>5.090751689644903</c:v>
                </c:pt>
                <c:pt idx="59">
                  <c:v>5.097569639431371</c:v>
                </c:pt>
                <c:pt idx="60">
                  <c:v>5.1047601666385249</c:v>
                </c:pt>
                <c:pt idx="61">
                  <c:v>5.1114641515866541</c:v>
                </c:pt>
                <c:pt idx="62">
                  <c:v>5.1176358173894938</c:v>
                </c:pt>
                <c:pt idx="63">
                  <c:v>5.1246998089321174</c:v>
                </c:pt>
                <c:pt idx="64">
                  <c:v>5.1308160500347437</c:v>
                </c:pt>
                <c:pt idx="65">
                  <c:v>5.1374174149903924</c:v>
                </c:pt>
                <c:pt idx="66">
                  <c:v>5.1443250784004881</c:v>
                </c:pt>
                <c:pt idx="67">
                  <c:v>5.1502650869787034</c:v>
                </c:pt>
                <c:pt idx="68">
                  <c:v>5.1560946306394273</c:v>
                </c:pt>
                <c:pt idx="69">
                  <c:v>5.1615476731257273</c:v>
                </c:pt>
                <c:pt idx="70">
                  <c:v>5.1674650288430879</c:v>
                </c:pt>
                <c:pt idx="71">
                  <c:v>5.1735650178586612</c:v>
                </c:pt>
              </c:numCache>
            </c:numRef>
          </c:xVal>
          <c:yVal>
            <c:numRef>
              <c:f>'film thickness'!$J$89:$J$160</c:f>
              <c:numCache>
                <c:formatCode>General</c:formatCode>
                <c:ptCount val="72"/>
                <c:pt idx="0">
                  <c:v>-4.1429492740777976</c:v>
                </c:pt>
                <c:pt idx="1">
                  <c:v>-4.3179357002483663</c:v>
                </c:pt>
                <c:pt idx="2">
                  <c:v>-3.9709276374477582</c:v>
                </c:pt>
                <c:pt idx="3">
                  <c:v>-4.0866574817769354</c:v>
                </c:pt>
                <c:pt idx="4">
                  <c:v>-4.1115299134107781</c:v>
                </c:pt>
                <c:pt idx="5">
                  <c:v>-4.1837535295571717</c:v>
                </c:pt>
                <c:pt idx="6">
                  <c:v>-4.1954184887331332</c:v>
                </c:pt>
                <c:pt idx="7">
                  <c:v>-4.244811737805338</c:v>
                </c:pt>
                <c:pt idx="8">
                  <c:v>-4.140782970607896</c:v>
                </c:pt>
                <c:pt idx="9">
                  <c:v>-3.6745608024658232</c:v>
                </c:pt>
                <c:pt idx="10">
                  <c:v>-3.322282347966397</c:v>
                </c:pt>
                <c:pt idx="11">
                  <c:v>-3.0779516849645518</c:v>
                </c:pt>
                <c:pt idx="12">
                  <c:v>-2.8769689789098201</c:v>
                </c:pt>
                <c:pt idx="13">
                  <c:v>-2.6712172654672153</c:v>
                </c:pt>
                <c:pt idx="14">
                  <c:v>-2.5072661943897803</c:v>
                </c:pt>
                <c:pt idx="15">
                  <c:v>-2.3966844252346879</c:v>
                </c:pt>
                <c:pt idx="16">
                  <c:v>-2.2833947716583376</c:v>
                </c:pt>
                <c:pt idx="17">
                  <c:v>-2.1918884609747784</c:v>
                </c:pt>
                <c:pt idx="18">
                  <c:v>-2.1120064646985863</c:v>
                </c:pt>
                <c:pt idx="19">
                  <c:v>-2.0307485949010151</c:v>
                </c:pt>
                <c:pt idx="20">
                  <c:v>-1.9517631823610715</c:v>
                </c:pt>
                <c:pt idx="21">
                  <c:v>-1.8792240443569481</c:v>
                </c:pt>
                <c:pt idx="22">
                  <c:v>-1.8280841353923483</c:v>
                </c:pt>
                <c:pt idx="23">
                  <c:v>-1.7834224204560551</c:v>
                </c:pt>
                <c:pt idx="24">
                  <c:v>-1.7454219371712847</c:v>
                </c:pt>
                <c:pt idx="25">
                  <c:v>-1.7058624837792833</c:v>
                </c:pt>
                <c:pt idx="26">
                  <c:v>-1.6717464507260542</c:v>
                </c:pt>
                <c:pt idx="27">
                  <c:v>-1.6407583116915836</c:v>
                </c:pt>
                <c:pt idx="28">
                  <c:v>-1.6154983947443891</c:v>
                </c:pt>
                <c:pt idx="29">
                  <c:v>-1.5939947732896922</c:v>
                </c:pt>
                <c:pt idx="30">
                  <c:v>-1.5691078981368711</c:v>
                </c:pt>
                <c:pt idx="31">
                  <c:v>-1.5505033161338093</c:v>
                </c:pt>
                <c:pt idx="32">
                  <c:v>-1.5286979018391951</c:v>
                </c:pt>
                <c:pt idx="33">
                  <c:v>-1.5093330124451383</c:v>
                </c:pt>
                <c:pt idx="34">
                  <c:v>-1.4873393699904909</c:v>
                </c:pt>
                <c:pt idx="35">
                  <c:v>-1.4750611259185362</c:v>
                </c:pt>
                <c:pt idx="36">
                  <c:v>-1.4595118617846294</c:v>
                </c:pt>
                <c:pt idx="37">
                  <c:v>-1.4386500434652238</c:v>
                </c:pt>
                <c:pt idx="38">
                  <c:v>-1.4239507110724474</c:v>
                </c:pt>
                <c:pt idx="39">
                  <c:v>-1.4119412834757938</c:v>
                </c:pt>
                <c:pt idx="40">
                  <c:v>-1.4015267782101595</c:v>
                </c:pt>
                <c:pt idx="41">
                  <c:v>-1.3913654393737425</c:v>
                </c:pt>
                <c:pt idx="42">
                  <c:v>-1.3790286588505074</c:v>
                </c:pt>
                <c:pt idx="43">
                  <c:v>-1.3653178924558571</c:v>
                </c:pt>
                <c:pt idx="44">
                  <c:v>-1.3593578128417847</c:v>
                </c:pt>
                <c:pt idx="45">
                  <c:v>-1.3510695090680447</c:v>
                </c:pt>
                <c:pt idx="46">
                  <c:v>-1.3400271860767285</c:v>
                </c:pt>
                <c:pt idx="47">
                  <c:v>-1.3252442568177896</c:v>
                </c:pt>
                <c:pt idx="48">
                  <c:v>-1.3185284755076847</c:v>
                </c:pt>
                <c:pt idx="49">
                  <c:v>-1.3111824599376818</c:v>
                </c:pt>
                <c:pt idx="50">
                  <c:v>-1.3041827887056514</c:v>
                </c:pt>
                <c:pt idx="51">
                  <c:v>-1.2959141195191528</c:v>
                </c:pt>
                <c:pt idx="52">
                  <c:v>-1.2876369868976414</c:v>
                </c:pt>
                <c:pt idx="53">
                  <c:v>-1.2842811741783211</c:v>
                </c:pt>
                <c:pt idx="54">
                  <c:v>-1.280761716055103</c:v>
                </c:pt>
                <c:pt idx="55">
                  <c:v>-1.2773630693905289</c:v>
                </c:pt>
                <c:pt idx="56">
                  <c:v>-1.2696844872419533</c:v>
                </c:pt>
                <c:pt idx="57">
                  <c:v>-1.261201846469719</c:v>
                </c:pt>
                <c:pt idx="58">
                  <c:v>-1.2512590265966634</c:v>
                </c:pt>
                <c:pt idx="59">
                  <c:v>-1.24198261802912</c:v>
                </c:pt>
                <c:pt idx="60">
                  <c:v>-1.2363785914075192</c:v>
                </c:pt>
                <c:pt idx="61">
                  <c:v>-1.2318210084009529</c:v>
                </c:pt>
                <c:pt idx="62">
                  <c:v>-1.2286102431619417</c:v>
                </c:pt>
                <c:pt idx="63">
                  <c:v>-1.2236923082940891</c:v>
                </c:pt>
                <c:pt idx="64">
                  <c:v>-1.219631801144518</c:v>
                </c:pt>
                <c:pt idx="65">
                  <c:v>-1.2171413868287622</c:v>
                </c:pt>
                <c:pt idx="66">
                  <c:v>-1.2130180694878931</c:v>
                </c:pt>
                <c:pt idx="67">
                  <c:v>-1.209586569237894</c:v>
                </c:pt>
                <c:pt idx="68">
                  <c:v>-1.2058699836160063</c:v>
                </c:pt>
                <c:pt idx="69">
                  <c:v>-1.1985296887951156</c:v>
                </c:pt>
                <c:pt idx="70">
                  <c:v>-1.1943550305779631</c:v>
                </c:pt>
                <c:pt idx="71">
                  <c:v>-1.1884507724913869</c:v>
                </c:pt>
              </c:numCache>
            </c:numRef>
          </c:yVal>
        </c:ser>
        <c:dLbls/>
        <c:axId val="77620736"/>
        <c:axId val="77622656"/>
      </c:scatterChart>
      <c:valAx>
        <c:axId val="77620736"/>
        <c:scaling>
          <c:orientation val="minMax"/>
          <c:min val="3.7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log P [Pa]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622656"/>
        <c:crosses val="autoZero"/>
        <c:crossBetween val="midCat"/>
      </c:valAx>
      <c:valAx>
        <c:axId val="7762265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log </a:t>
                </a:r>
                <a:r>
                  <a:rPr lang="el-GR">
                    <a:latin typeface="Calibri" panose="020F0502020204030204" pitchFamily="34" charset="0"/>
                  </a:rPr>
                  <a:t>κ</a:t>
                </a:r>
                <a:r>
                  <a:rPr lang="nl-NL">
                    <a:latin typeface="Calibri" panose="020F0502020204030204" pitchFamily="34" charset="0"/>
                  </a:rPr>
                  <a:t> [Darcy]</a:t>
                </a:r>
                <a:endParaRPr lang="nl-NL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6207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tx>
            <c:v>FC-43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6.2746711455588633E-2"/>
                  <c:y val="7.632364112745372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'film thickness'!$I$67:$I$80</c:f>
              <c:numCache>
                <c:formatCode>General</c:formatCode>
                <c:ptCount val="14"/>
                <c:pt idx="0">
                  <c:v>5.0913855420783678</c:v>
                </c:pt>
                <c:pt idx="1">
                  <c:v>5.0988167170489413</c:v>
                </c:pt>
                <c:pt idx="2">
                  <c:v>5.1045553912405133</c:v>
                </c:pt>
                <c:pt idx="3">
                  <c:v>5.1112625136590655</c:v>
                </c:pt>
                <c:pt idx="4">
                  <c:v>5.1177351793304968</c:v>
                </c:pt>
                <c:pt idx="5">
                  <c:v>5.1246346240191389</c:v>
                </c:pt>
                <c:pt idx="6">
                  <c:v>5.1307517767651429</c:v>
                </c:pt>
                <c:pt idx="7">
                  <c:v>5.1383658636789962</c:v>
                </c:pt>
                <c:pt idx="8">
                  <c:v>5.1433895689946558</c:v>
                </c:pt>
                <c:pt idx="9">
                  <c:v>5.1503265364987074</c:v>
                </c:pt>
                <c:pt idx="10">
                  <c:v>5.1556699817198108</c:v>
                </c:pt>
                <c:pt idx="11">
                  <c:v>5.1620264324211771</c:v>
                </c:pt>
                <c:pt idx="12">
                  <c:v>5.168438552186772</c:v>
                </c:pt>
                <c:pt idx="13">
                  <c:v>5.1735358950099064</c:v>
                </c:pt>
              </c:numCache>
            </c:numRef>
          </c:xVal>
          <c:yVal>
            <c:numRef>
              <c:f>'film thickness'!$J$67:$J$80</c:f>
              <c:numCache>
                <c:formatCode>General</c:formatCode>
                <c:ptCount val="14"/>
                <c:pt idx="0">
                  <c:v>-1.0867242023922394</c:v>
                </c:pt>
                <c:pt idx="1">
                  <c:v>-1.087297432176686</c:v>
                </c:pt>
                <c:pt idx="2">
                  <c:v>-1.0836828582882194</c:v>
                </c:pt>
                <c:pt idx="3">
                  <c:v>-1.0820428712253485</c:v>
                </c:pt>
                <c:pt idx="4">
                  <c:v>-1.0790194545860974</c:v>
                </c:pt>
                <c:pt idx="5">
                  <c:v>-1.0782673916004497</c:v>
                </c:pt>
                <c:pt idx="6">
                  <c:v>-1.0753554204709233</c:v>
                </c:pt>
                <c:pt idx="7">
                  <c:v>-1.0759364978667016</c:v>
                </c:pt>
                <c:pt idx="8">
                  <c:v>-1.0730357785349927</c:v>
                </c:pt>
                <c:pt idx="9">
                  <c:v>-1.0718749563549468</c:v>
                </c:pt>
                <c:pt idx="10">
                  <c:v>-1.0699418112391299</c:v>
                </c:pt>
                <c:pt idx="11">
                  <c:v>-1.0687316691933582</c:v>
                </c:pt>
                <c:pt idx="12">
                  <c:v>-1.0686372266750281</c:v>
                </c:pt>
                <c:pt idx="13">
                  <c:v>-1.0659851038673771</c:v>
                </c:pt>
              </c:numCache>
            </c:numRef>
          </c:yVal>
        </c:ser>
        <c:ser>
          <c:idx val="1"/>
          <c:order val="1"/>
          <c:tx>
            <c:v>Krytox 157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0437328895531896"/>
                  <c:y val="6.9013553054082683E-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'film thickness'!$I$147:$I$160</c:f>
              <c:numCache>
                <c:formatCode>General</c:formatCode>
                <c:ptCount val="14"/>
                <c:pt idx="0">
                  <c:v>5.090751689644903</c:v>
                </c:pt>
                <c:pt idx="1">
                  <c:v>5.097569639431371</c:v>
                </c:pt>
                <c:pt idx="2">
                  <c:v>5.1047601666385249</c:v>
                </c:pt>
                <c:pt idx="3">
                  <c:v>5.1114641515866541</c:v>
                </c:pt>
                <c:pt idx="4">
                  <c:v>5.1176358173894938</c:v>
                </c:pt>
                <c:pt idx="5">
                  <c:v>5.1246998089321174</c:v>
                </c:pt>
                <c:pt idx="6">
                  <c:v>5.1308160500347437</c:v>
                </c:pt>
                <c:pt idx="7">
                  <c:v>5.1374174149903924</c:v>
                </c:pt>
                <c:pt idx="8">
                  <c:v>5.1443250784004881</c:v>
                </c:pt>
                <c:pt idx="9">
                  <c:v>5.1502650869787034</c:v>
                </c:pt>
                <c:pt idx="10">
                  <c:v>5.1560946306394273</c:v>
                </c:pt>
                <c:pt idx="11">
                  <c:v>5.1615476731257273</c:v>
                </c:pt>
                <c:pt idx="12">
                  <c:v>5.1674650288430879</c:v>
                </c:pt>
                <c:pt idx="13">
                  <c:v>5.1735650178586612</c:v>
                </c:pt>
              </c:numCache>
            </c:numRef>
          </c:xVal>
          <c:yVal>
            <c:numRef>
              <c:f>'film thickness'!$J$147:$J$160</c:f>
              <c:numCache>
                <c:formatCode>General</c:formatCode>
                <c:ptCount val="14"/>
                <c:pt idx="0">
                  <c:v>-1.2512590265966634</c:v>
                </c:pt>
                <c:pt idx="1">
                  <c:v>-1.24198261802912</c:v>
                </c:pt>
                <c:pt idx="2">
                  <c:v>-1.2363785914075192</c:v>
                </c:pt>
                <c:pt idx="3">
                  <c:v>-1.2318210084009529</c:v>
                </c:pt>
                <c:pt idx="4">
                  <c:v>-1.2286102431619417</c:v>
                </c:pt>
                <c:pt idx="5">
                  <c:v>-1.2236923082940891</c:v>
                </c:pt>
                <c:pt idx="6">
                  <c:v>-1.219631801144518</c:v>
                </c:pt>
                <c:pt idx="7">
                  <c:v>-1.2171413868287622</c:v>
                </c:pt>
                <c:pt idx="8">
                  <c:v>-1.2130180694878931</c:v>
                </c:pt>
                <c:pt idx="9">
                  <c:v>-1.209586569237894</c:v>
                </c:pt>
                <c:pt idx="10">
                  <c:v>-1.2058699836160063</c:v>
                </c:pt>
                <c:pt idx="11">
                  <c:v>-1.1985296887951156</c:v>
                </c:pt>
                <c:pt idx="12">
                  <c:v>-1.1943550305779631</c:v>
                </c:pt>
                <c:pt idx="13">
                  <c:v>-1.1884507724913869</c:v>
                </c:pt>
              </c:numCache>
            </c:numRef>
          </c:yVal>
        </c:ser>
        <c:dLbls/>
        <c:axId val="78076160"/>
        <c:axId val="78082432"/>
      </c:scatterChart>
      <c:valAx>
        <c:axId val="7807616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log P [Pa]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082432"/>
        <c:crosses val="autoZero"/>
        <c:crossBetween val="midCat"/>
      </c:valAx>
      <c:valAx>
        <c:axId val="7808243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log </a:t>
                </a:r>
                <a:r>
                  <a:rPr lang="el-GR">
                    <a:latin typeface="Calibri" panose="020F0502020204030204" pitchFamily="34" charset="0"/>
                  </a:rPr>
                  <a:t>κ</a:t>
                </a:r>
                <a:r>
                  <a:rPr lang="nl-NL">
                    <a:latin typeface="Calibri" panose="020F0502020204030204" pitchFamily="34" charset="0"/>
                  </a:rPr>
                  <a:t> [Darcy]</a:t>
                </a:r>
                <a:endParaRPr lang="nl-NL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0761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1447800</xdr:colOff>
      <xdr:row>45</xdr:row>
      <xdr:rowOff>52386</xdr:rowOff>
    </xdr:from>
    <xdr:to>
      <xdr:col>11</xdr:col>
      <xdr:colOff>2238375</xdr:colOff>
      <xdr:row>78</xdr:row>
      <xdr:rowOff>38099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1390650</xdr:colOff>
      <xdr:row>80</xdr:row>
      <xdr:rowOff>33337</xdr:rowOff>
    </xdr:from>
    <xdr:to>
      <xdr:col>11</xdr:col>
      <xdr:colOff>1266825</xdr:colOff>
      <xdr:row>111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1924049</xdr:colOff>
      <xdr:row>79</xdr:row>
      <xdr:rowOff>190499</xdr:rowOff>
    </xdr:from>
    <xdr:to>
      <xdr:col>18</xdr:col>
      <xdr:colOff>1466849</xdr:colOff>
      <xdr:row>111</xdr:row>
      <xdr:rowOff>57150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1133475</xdr:colOff>
      <xdr:row>1</xdr:row>
      <xdr:rowOff>166687</xdr:rowOff>
    </xdr:from>
    <xdr:to>
      <xdr:col>19</xdr:col>
      <xdr:colOff>2590801</xdr:colOff>
      <xdr:row>36</xdr:row>
      <xdr:rowOff>123825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1200151</xdr:colOff>
      <xdr:row>40</xdr:row>
      <xdr:rowOff>109536</xdr:rowOff>
    </xdr:from>
    <xdr:to>
      <xdr:col>19</xdr:col>
      <xdr:colOff>2552701</xdr:colOff>
      <xdr:row>70</xdr:row>
      <xdr:rowOff>171450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78"/>
  <sheetViews>
    <sheetView tabSelected="1" topLeftCell="I80" workbookViewId="0">
      <selection activeCell="E39" sqref="E39:F78"/>
    </sheetView>
  </sheetViews>
  <sheetFormatPr defaultRowHeight="15"/>
  <cols>
    <col min="1" max="1" width="37.42578125" bestFit="1" customWidth="1"/>
    <col min="2" max="2" width="36" bestFit="1" customWidth="1"/>
    <col min="3" max="3" width="37" bestFit="1" customWidth="1"/>
    <col min="4" max="4" width="35.5703125" bestFit="1" customWidth="1"/>
    <col min="5" max="5" width="38.140625" bestFit="1" customWidth="1"/>
    <col min="6" max="6" width="36.5703125" bestFit="1" customWidth="1"/>
    <col min="7" max="7" width="50.85546875" bestFit="1" customWidth="1"/>
    <col min="8" max="8" width="49.28515625" bestFit="1" customWidth="1"/>
    <col min="9" max="9" width="50.42578125" bestFit="1" customWidth="1"/>
    <col min="10" max="10" width="48.85546875" bestFit="1" customWidth="1"/>
    <col min="11" max="11" width="51.42578125" bestFit="1" customWidth="1"/>
    <col min="12" max="12" width="49.85546875" bestFit="1" customWidth="1"/>
    <col min="13" max="13" width="20.5703125" bestFit="1" customWidth="1"/>
    <col min="14" max="14" width="19.140625" bestFit="1" customWidth="1"/>
    <col min="15" max="15" width="20.140625" bestFit="1" customWidth="1"/>
    <col min="16" max="16" width="18.7109375" bestFit="1" customWidth="1"/>
    <col min="17" max="17" width="21.140625" bestFit="1" customWidth="1"/>
    <col min="18" max="18" width="19.7109375" bestFit="1" customWidth="1"/>
    <col min="19" max="19" width="39.7109375" bestFit="1" customWidth="1"/>
    <col min="20" max="20" width="38.28515625" bestFit="1" customWidth="1"/>
    <col min="21" max="21" width="39.28515625" bestFit="1" customWidth="1"/>
    <col min="22" max="22" width="37.7109375" bestFit="1" customWidth="1"/>
    <col min="23" max="23" width="40.28515625" bestFit="1" customWidth="1"/>
    <col min="24" max="24" width="38.85546875" bestFit="1" customWidth="1"/>
  </cols>
  <sheetData>
    <row r="1" spans="1:2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</row>
    <row r="2" spans="1:24">
      <c r="G2">
        <v>0</v>
      </c>
      <c r="H2">
        <v>0</v>
      </c>
      <c r="I2">
        <v>0</v>
      </c>
      <c r="J2">
        <v>0</v>
      </c>
      <c r="K2">
        <v>0</v>
      </c>
      <c r="L2">
        <v>0</v>
      </c>
    </row>
    <row r="3" spans="1:24">
      <c r="G3">
        <v>5.4711999999999998E-3</v>
      </c>
      <c r="H3">
        <v>1.1215000000000001E-3</v>
      </c>
      <c r="I3">
        <v>5.2608999999999998E-3</v>
      </c>
      <c r="J3">
        <v>0.11967999999999999</v>
      </c>
      <c r="K3">
        <v>5.2608999999999998E-3</v>
      </c>
      <c r="L3">
        <v>5.9841999999999999E-2</v>
      </c>
    </row>
    <row r="4" spans="1:24">
      <c r="G4">
        <v>2.0268999999999999E-2</v>
      </c>
      <c r="H4">
        <v>1.9226E-3</v>
      </c>
      <c r="I4">
        <v>2.9056999999999999E-2</v>
      </c>
      <c r="J4">
        <v>0.68622000000000005</v>
      </c>
      <c r="K4">
        <v>2.9056999999999999E-2</v>
      </c>
      <c r="L4">
        <v>0.34311000000000003</v>
      </c>
    </row>
    <row r="5" spans="1:24">
      <c r="G5">
        <v>4.0312000000000001E-2</v>
      </c>
      <c r="H5">
        <v>4.1656999999999996E-3</v>
      </c>
      <c r="I5">
        <v>6.6328999999999999E-2</v>
      </c>
      <c r="J5">
        <v>1.5384</v>
      </c>
      <c r="K5">
        <v>6.6328999999999999E-2</v>
      </c>
      <c r="L5">
        <v>0.76920999999999995</v>
      </c>
    </row>
    <row r="6" spans="1:24">
      <c r="G6">
        <v>6.0164000000000002E-2</v>
      </c>
      <c r="H6">
        <v>3.3646000000000001E-3</v>
      </c>
      <c r="I6">
        <v>0.10390000000000001</v>
      </c>
      <c r="J6">
        <v>2.3073999999999999</v>
      </c>
      <c r="K6">
        <v>0.10390000000000001</v>
      </c>
      <c r="L6">
        <v>1.1536999999999999</v>
      </c>
    </row>
    <row r="7" spans="1:24">
      <c r="G7">
        <v>8.0128000000000005E-2</v>
      </c>
      <c r="H7">
        <v>3.8452999999999998E-3</v>
      </c>
      <c r="I7">
        <v>0.14093</v>
      </c>
      <c r="J7">
        <v>2.9184000000000001</v>
      </c>
      <c r="K7">
        <v>0.14093</v>
      </c>
      <c r="L7">
        <v>1.4592000000000001</v>
      </c>
    </row>
    <row r="8" spans="1:24">
      <c r="G8">
        <v>9.9904999999999994E-2</v>
      </c>
      <c r="H8">
        <v>3.2044E-3</v>
      </c>
      <c r="I8">
        <v>0.17846000000000001</v>
      </c>
      <c r="J8">
        <v>3.3281000000000001</v>
      </c>
      <c r="K8">
        <v>0.17846000000000001</v>
      </c>
      <c r="L8">
        <v>1.6639999999999999</v>
      </c>
    </row>
    <row r="9" spans="1:24">
      <c r="G9">
        <v>0.1202</v>
      </c>
      <c r="H9">
        <v>8.5717999999999992E-3</v>
      </c>
      <c r="I9">
        <v>0.21582000000000001</v>
      </c>
      <c r="J9">
        <v>3.6004999999999998</v>
      </c>
      <c r="K9">
        <v>0.21582000000000001</v>
      </c>
      <c r="L9">
        <v>1.8002</v>
      </c>
    </row>
    <row r="10" spans="1:24">
      <c r="G10">
        <v>0.14004</v>
      </c>
      <c r="H10">
        <v>7.6505000000000002E-3</v>
      </c>
      <c r="I10">
        <v>0.25297999999999998</v>
      </c>
      <c r="J10">
        <v>3.8239999999999998</v>
      </c>
      <c r="K10">
        <v>0.25297999999999998</v>
      </c>
      <c r="L10">
        <v>1.9119999999999999</v>
      </c>
    </row>
    <row r="11" spans="1:24">
      <c r="G11">
        <v>0.15994</v>
      </c>
      <c r="H11">
        <v>8.2512999999999996E-3</v>
      </c>
      <c r="I11">
        <v>0.29021000000000002</v>
      </c>
      <c r="J11">
        <v>4.1069000000000004</v>
      </c>
      <c r="K11">
        <v>0.29021000000000002</v>
      </c>
      <c r="L11">
        <v>2.0533999999999999</v>
      </c>
    </row>
    <row r="12" spans="1:24">
      <c r="G12">
        <v>0.17971000000000001</v>
      </c>
      <c r="H12">
        <v>7.8507999999999998E-3</v>
      </c>
      <c r="I12">
        <v>0.32858999999999999</v>
      </c>
      <c r="J12">
        <v>4.5297000000000001</v>
      </c>
      <c r="K12">
        <v>0.32858999999999999</v>
      </c>
      <c r="L12">
        <v>2.2648999999999999</v>
      </c>
    </row>
    <row r="13" spans="1:24">
      <c r="G13">
        <v>0.19966999999999999</v>
      </c>
      <c r="H13">
        <v>8.4916000000000002E-3</v>
      </c>
      <c r="I13">
        <v>0.36537999999999998</v>
      </c>
      <c r="J13">
        <v>5.0941999999999998</v>
      </c>
      <c r="K13">
        <v>0.36537999999999998</v>
      </c>
      <c r="L13">
        <v>2.5470999999999999</v>
      </c>
    </row>
    <row r="14" spans="1:24">
      <c r="G14">
        <v>0.2195</v>
      </c>
      <c r="H14">
        <v>8.3313999999999992E-3</v>
      </c>
      <c r="I14">
        <v>0.40218999999999999</v>
      </c>
      <c r="J14">
        <v>5.8480999999999996</v>
      </c>
      <c r="K14">
        <v>0.40218999999999999</v>
      </c>
      <c r="L14">
        <v>2.9241000000000001</v>
      </c>
    </row>
    <row r="15" spans="1:24">
      <c r="G15">
        <v>0.23919000000000001</v>
      </c>
      <c r="H15">
        <v>1.1535999999999999E-2</v>
      </c>
      <c r="I15">
        <v>0.43976999999999999</v>
      </c>
      <c r="J15">
        <v>6.7728999999999999</v>
      </c>
      <c r="K15">
        <v>0.43976999999999999</v>
      </c>
      <c r="L15">
        <v>3.3864000000000001</v>
      </c>
    </row>
    <row r="16" spans="1:24">
      <c r="G16">
        <v>0.25889000000000001</v>
      </c>
      <c r="H16">
        <v>3.653E-2</v>
      </c>
      <c r="I16">
        <v>0.47604999999999997</v>
      </c>
      <c r="J16">
        <v>7.8163</v>
      </c>
      <c r="K16">
        <v>0.47604999999999997</v>
      </c>
      <c r="L16">
        <v>3.9081000000000001</v>
      </c>
    </row>
    <row r="17" spans="7:12">
      <c r="G17">
        <v>0.27850999999999998</v>
      </c>
      <c r="H17">
        <v>8.8441000000000006E-2</v>
      </c>
      <c r="I17">
        <v>0.51407000000000003</v>
      </c>
      <c r="J17">
        <v>9.0007999999999999</v>
      </c>
      <c r="K17">
        <v>0.51407000000000003</v>
      </c>
      <c r="L17">
        <v>4.5004</v>
      </c>
    </row>
    <row r="18" spans="7:12">
      <c r="G18">
        <v>0.29824000000000001</v>
      </c>
      <c r="H18">
        <v>0.16622999999999999</v>
      </c>
      <c r="I18">
        <v>0.55118</v>
      </c>
      <c r="J18">
        <v>10.314</v>
      </c>
      <c r="K18">
        <v>0.55118</v>
      </c>
      <c r="L18">
        <v>5.1569000000000003</v>
      </c>
    </row>
    <row r="19" spans="7:12">
      <c r="G19">
        <v>0.31885999999999998</v>
      </c>
      <c r="H19">
        <v>0.28231000000000001</v>
      </c>
      <c r="I19">
        <v>0.58830000000000005</v>
      </c>
      <c r="J19">
        <v>11.771000000000001</v>
      </c>
      <c r="K19">
        <v>0.58830000000000005</v>
      </c>
      <c r="L19">
        <v>5.8855000000000004</v>
      </c>
    </row>
    <row r="20" spans="7:12">
      <c r="G20">
        <v>0.33809</v>
      </c>
      <c r="H20">
        <v>0.48074</v>
      </c>
      <c r="I20">
        <v>0.62733000000000005</v>
      </c>
      <c r="J20">
        <v>13.208</v>
      </c>
      <c r="K20">
        <v>0.62733000000000005</v>
      </c>
      <c r="L20">
        <v>6.6040999999999999</v>
      </c>
    </row>
    <row r="21" spans="7:12">
      <c r="G21">
        <v>0.35980000000000001</v>
      </c>
      <c r="H21">
        <v>0.74626000000000003</v>
      </c>
      <c r="I21">
        <v>0.66273000000000004</v>
      </c>
      <c r="J21">
        <v>14.831</v>
      </c>
      <c r="K21">
        <v>0.66273000000000004</v>
      </c>
      <c r="L21">
        <v>7.4156000000000004</v>
      </c>
    </row>
    <row r="22" spans="7:12">
      <c r="G22">
        <v>0.37884000000000001</v>
      </c>
      <c r="H22">
        <v>1.0136000000000001</v>
      </c>
      <c r="I22">
        <v>0.70140999999999998</v>
      </c>
      <c r="J22">
        <v>16.495999999999999</v>
      </c>
      <c r="K22">
        <v>0.70140999999999998</v>
      </c>
      <c r="L22">
        <v>8.2479999999999993</v>
      </c>
    </row>
    <row r="23" spans="7:12">
      <c r="G23">
        <v>0.39818999999999999</v>
      </c>
      <c r="H23">
        <v>1.3829</v>
      </c>
      <c r="I23">
        <v>0.73658000000000001</v>
      </c>
      <c r="J23">
        <v>18.356000000000002</v>
      </c>
      <c r="K23">
        <v>0.73658000000000001</v>
      </c>
      <c r="L23">
        <v>9.1780000000000008</v>
      </c>
    </row>
    <row r="24" spans="7:12">
      <c r="G24">
        <v>0.41798000000000002</v>
      </c>
      <c r="H24">
        <v>1.7921</v>
      </c>
      <c r="I24">
        <v>0.77464</v>
      </c>
      <c r="J24">
        <v>20.178000000000001</v>
      </c>
      <c r="K24">
        <v>0.77464</v>
      </c>
      <c r="L24">
        <v>10.089</v>
      </c>
    </row>
    <row r="25" spans="7:12">
      <c r="G25">
        <v>0.43857000000000002</v>
      </c>
      <c r="H25">
        <v>2.2601</v>
      </c>
      <c r="I25">
        <v>0.81206999999999996</v>
      </c>
      <c r="J25">
        <v>21.995000000000001</v>
      </c>
      <c r="K25">
        <v>0.81206999999999996</v>
      </c>
      <c r="L25">
        <v>10.997</v>
      </c>
    </row>
    <row r="26" spans="7:12">
      <c r="G26">
        <v>0.45767000000000002</v>
      </c>
      <c r="H26">
        <v>2.8437999999999999</v>
      </c>
      <c r="I26">
        <v>0.84848999999999997</v>
      </c>
      <c r="J26">
        <v>23.791</v>
      </c>
      <c r="K26">
        <v>0.84848999999999997</v>
      </c>
      <c r="L26">
        <v>11.895</v>
      </c>
    </row>
    <row r="27" spans="7:12">
      <c r="G27">
        <v>0.47887999999999997</v>
      </c>
      <c r="H27">
        <v>3.5691000000000002</v>
      </c>
      <c r="I27">
        <v>0.88626000000000005</v>
      </c>
      <c r="J27">
        <v>25.8</v>
      </c>
      <c r="K27">
        <v>0.88626000000000005</v>
      </c>
      <c r="L27">
        <v>12.9</v>
      </c>
    </row>
    <row r="28" spans="7:12">
      <c r="G28">
        <v>0.49826999999999999</v>
      </c>
      <c r="H28">
        <v>4.3887</v>
      </c>
      <c r="I28">
        <v>0.92330000000000001</v>
      </c>
      <c r="J28">
        <v>27.634</v>
      </c>
      <c r="K28">
        <v>0.92330000000000001</v>
      </c>
      <c r="L28">
        <v>13.817</v>
      </c>
    </row>
    <row r="29" spans="7:12">
      <c r="G29">
        <v>0.51844000000000001</v>
      </c>
      <c r="H29">
        <v>5.1369999999999996</v>
      </c>
      <c r="I29">
        <v>0.96004999999999996</v>
      </c>
      <c r="J29">
        <v>29.672000000000001</v>
      </c>
      <c r="K29">
        <v>0.96004999999999996</v>
      </c>
      <c r="L29">
        <v>14.836</v>
      </c>
    </row>
    <row r="30" spans="7:12">
      <c r="G30">
        <v>0.53790000000000004</v>
      </c>
      <c r="H30">
        <v>5.9070999999999998</v>
      </c>
      <c r="I30">
        <v>0.99885000000000002</v>
      </c>
      <c r="J30">
        <v>32.164999999999999</v>
      </c>
      <c r="K30">
        <v>0.99885000000000002</v>
      </c>
      <c r="L30">
        <v>16.082000000000001</v>
      </c>
    </row>
    <row r="31" spans="7:12">
      <c r="G31">
        <v>0.55745999999999996</v>
      </c>
      <c r="H31">
        <v>6.6817000000000002</v>
      </c>
      <c r="I31">
        <v>1.0349999999999999</v>
      </c>
      <c r="J31">
        <v>34.07</v>
      </c>
      <c r="K31">
        <v>1.0349999999999999</v>
      </c>
      <c r="L31">
        <v>17.035</v>
      </c>
    </row>
    <row r="32" spans="7:12">
      <c r="G32">
        <v>0.5766</v>
      </c>
      <c r="H32">
        <v>7.5701999999999998</v>
      </c>
      <c r="I32">
        <v>1.0732999999999999</v>
      </c>
      <c r="J32">
        <v>36.484999999999999</v>
      </c>
      <c r="K32">
        <v>1.0732999999999999</v>
      </c>
      <c r="L32">
        <v>18.242000000000001</v>
      </c>
    </row>
    <row r="33" spans="5:12">
      <c r="G33">
        <v>0.59641</v>
      </c>
      <c r="H33">
        <v>8.4702000000000002</v>
      </c>
      <c r="I33">
        <v>1.1095999999999999</v>
      </c>
      <c r="J33">
        <v>38.765000000000001</v>
      </c>
      <c r="K33">
        <v>1.1095999999999999</v>
      </c>
      <c r="L33">
        <v>19.382000000000001</v>
      </c>
    </row>
    <row r="34" spans="5:12">
      <c r="G34">
        <v>0.61480999999999997</v>
      </c>
      <c r="H34">
        <v>9.3773</v>
      </c>
      <c r="I34">
        <v>1.1504000000000001</v>
      </c>
      <c r="J34">
        <v>40.887</v>
      </c>
      <c r="K34">
        <v>1.1504000000000001</v>
      </c>
      <c r="L34">
        <v>20.443000000000001</v>
      </c>
    </row>
    <row r="35" spans="5:12">
      <c r="G35">
        <v>0.63721000000000005</v>
      </c>
      <c r="H35">
        <v>10.301</v>
      </c>
      <c r="I35">
        <v>1.1856</v>
      </c>
      <c r="J35">
        <v>43.026000000000003</v>
      </c>
      <c r="K35">
        <v>1.1856</v>
      </c>
      <c r="L35">
        <v>21.513000000000002</v>
      </c>
    </row>
    <row r="36" spans="5:12">
      <c r="G36">
        <v>0.65634999999999999</v>
      </c>
      <c r="H36">
        <v>11.148999999999999</v>
      </c>
      <c r="I36">
        <v>1.2216</v>
      </c>
      <c r="J36">
        <v>45.673999999999999</v>
      </c>
      <c r="K36">
        <v>1.2216</v>
      </c>
      <c r="L36">
        <v>22.837</v>
      </c>
    </row>
    <row r="37" spans="5:12">
      <c r="G37">
        <v>0.67700000000000005</v>
      </c>
      <c r="H37">
        <v>12.178000000000001</v>
      </c>
      <c r="I37">
        <v>1.2605</v>
      </c>
      <c r="J37">
        <v>48.426000000000002</v>
      </c>
      <c r="K37">
        <v>1.2605</v>
      </c>
      <c r="L37">
        <v>24.213000000000001</v>
      </c>
    </row>
    <row r="38" spans="5:12">
      <c r="E38" t="s">
        <v>24</v>
      </c>
      <c r="F38" t="s">
        <v>25</v>
      </c>
      <c r="G38">
        <v>0.69564000000000004</v>
      </c>
      <c r="H38">
        <v>13.061</v>
      </c>
      <c r="I38">
        <v>1.298</v>
      </c>
      <c r="J38">
        <v>50.529000000000003</v>
      </c>
      <c r="K38">
        <v>1.298</v>
      </c>
      <c r="L38">
        <v>25.263999999999999</v>
      </c>
    </row>
    <row r="39" spans="5:12">
      <c r="E39" s="4">
        <f>LOG(G39)</f>
        <v>-0.14491717506070081</v>
      </c>
      <c r="F39" s="4">
        <f>LOG(H39)</f>
        <v>1.1504801222703347</v>
      </c>
      <c r="G39">
        <v>0.71628000000000003</v>
      </c>
      <c r="H39">
        <v>14.141</v>
      </c>
      <c r="I39">
        <v>1.3331</v>
      </c>
      <c r="J39">
        <v>53.03</v>
      </c>
      <c r="K39">
        <v>1.3331</v>
      </c>
      <c r="L39">
        <v>26.515000000000001</v>
      </c>
    </row>
    <row r="40" spans="5:12">
      <c r="E40" s="4">
        <f t="shared" ref="E40:E78" si="0">LOG(G40)</f>
        <v>-0.13337599164187483</v>
      </c>
      <c r="F40" s="4">
        <f t="shared" ref="F40:F78" si="1">LOG(H40)</f>
        <v>1.1813861950832174</v>
      </c>
      <c r="G40">
        <v>0.73556999999999995</v>
      </c>
      <c r="H40">
        <v>15.183999999999999</v>
      </c>
      <c r="I40">
        <v>1.3715999999999999</v>
      </c>
      <c r="J40">
        <v>55.540999999999997</v>
      </c>
      <c r="K40">
        <v>1.3715999999999999</v>
      </c>
      <c r="L40">
        <v>27.771000000000001</v>
      </c>
    </row>
    <row r="41" spans="5:12">
      <c r="E41" s="4">
        <f t="shared" si="0"/>
        <v>-0.12154140009251216</v>
      </c>
      <c r="F41" s="4">
        <f t="shared" si="1"/>
        <v>1.2152144290872275</v>
      </c>
      <c r="G41">
        <v>0.75588999999999995</v>
      </c>
      <c r="H41">
        <v>16.414000000000001</v>
      </c>
      <c r="I41">
        <v>1.4123000000000001</v>
      </c>
      <c r="J41">
        <v>57.77</v>
      </c>
      <c r="K41">
        <v>1.4123000000000001</v>
      </c>
      <c r="L41">
        <v>28.885000000000002</v>
      </c>
    </row>
    <row r="42" spans="5:12">
      <c r="E42" s="4">
        <f t="shared" si="0"/>
        <v>-0.11063666007042358</v>
      </c>
      <c r="F42" s="4">
        <f t="shared" si="1"/>
        <v>1.2383974131812707</v>
      </c>
      <c r="G42">
        <v>0.77510999999999997</v>
      </c>
      <c r="H42">
        <v>17.314</v>
      </c>
      <c r="I42">
        <v>1.4456</v>
      </c>
      <c r="J42">
        <v>60.426000000000002</v>
      </c>
      <c r="K42">
        <v>1.4456</v>
      </c>
      <c r="L42">
        <v>30.213000000000001</v>
      </c>
    </row>
    <row r="43" spans="5:12">
      <c r="E43" s="4">
        <f t="shared" si="0"/>
        <v>-9.9671112792842395E-2</v>
      </c>
      <c r="F43" s="4">
        <f t="shared" si="1"/>
        <v>1.2649122245927586</v>
      </c>
      <c r="G43">
        <v>0.79493000000000003</v>
      </c>
      <c r="H43">
        <v>18.404</v>
      </c>
      <c r="I43">
        <v>1.4825999999999999</v>
      </c>
      <c r="J43">
        <v>63.244999999999997</v>
      </c>
      <c r="K43">
        <v>1.4825999999999999</v>
      </c>
      <c r="L43">
        <v>31.622</v>
      </c>
    </row>
    <row r="44" spans="5:12">
      <c r="E44" s="4">
        <f t="shared" si="0"/>
        <v>-8.853875772724859E-2</v>
      </c>
      <c r="F44" s="4">
        <f t="shared" si="1"/>
        <v>1.2969063979777584</v>
      </c>
      <c r="G44">
        <v>0.81557000000000002</v>
      </c>
      <c r="H44">
        <v>19.811</v>
      </c>
    </row>
    <row r="45" spans="5:12">
      <c r="E45" s="4">
        <f t="shared" si="0"/>
        <v>-7.8235514550274374E-2</v>
      </c>
      <c r="F45" s="4">
        <f t="shared" si="1"/>
        <v>1.3219089735475089</v>
      </c>
      <c r="G45">
        <v>0.83514999999999995</v>
      </c>
      <c r="H45">
        <v>20.984999999999999</v>
      </c>
    </row>
    <row r="46" spans="5:12">
      <c r="E46" s="4">
        <f t="shared" si="0"/>
        <v>-6.7820600013159357E-2</v>
      </c>
      <c r="F46" s="4">
        <f t="shared" si="1"/>
        <v>1.3443333156812773</v>
      </c>
      <c r="G46">
        <v>0.85541999999999996</v>
      </c>
      <c r="H46">
        <v>22.097000000000001</v>
      </c>
    </row>
    <row r="47" spans="5:12">
      <c r="E47" s="4">
        <f t="shared" si="0"/>
        <v>-5.7773613785961173E-2</v>
      </c>
      <c r="F47" s="4">
        <f t="shared" si="1"/>
        <v>1.3647948071741098</v>
      </c>
      <c r="G47">
        <v>0.87544</v>
      </c>
      <c r="H47">
        <v>23.163</v>
      </c>
    </row>
    <row r="48" spans="5:12">
      <c r="E48" s="4">
        <f t="shared" si="0"/>
        <v>-4.8555620989454637E-2</v>
      </c>
      <c r="F48" s="4">
        <f t="shared" si="1"/>
        <v>1.3841741388070334</v>
      </c>
      <c r="G48">
        <v>0.89422000000000001</v>
      </c>
      <c r="H48">
        <v>24.22</v>
      </c>
    </row>
    <row r="49" spans="5:8">
      <c r="E49" s="4">
        <f t="shared" si="0"/>
        <v>-3.9020544474423074E-2</v>
      </c>
      <c r="F49" s="4">
        <f t="shared" si="1"/>
        <v>1.4060459958453002</v>
      </c>
      <c r="G49">
        <v>0.91407000000000005</v>
      </c>
      <c r="H49">
        <v>25.471</v>
      </c>
    </row>
    <row r="50" spans="5:8">
      <c r="E50" s="4">
        <f t="shared" si="0"/>
        <v>-2.9606627920399843E-2</v>
      </c>
      <c r="F50" s="4">
        <f t="shared" si="1"/>
        <v>1.4291706787939735</v>
      </c>
      <c r="G50">
        <v>0.93410000000000004</v>
      </c>
      <c r="H50">
        <v>26.864000000000001</v>
      </c>
    </row>
    <row r="51" spans="5:8">
      <c r="E51" s="4">
        <f t="shared" si="0"/>
        <v>-1.9896593041855801E-2</v>
      </c>
      <c r="F51" s="4">
        <f t="shared" si="1"/>
        <v>1.4448407932865901</v>
      </c>
      <c r="G51">
        <v>0.95521999999999996</v>
      </c>
      <c r="H51">
        <v>27.850999999999999</v>
      </c>
    </row>
    <row r="52" spans="5:8">
      <c r="E52" s="4">
        <f t="shared" si="0"/>
        <v>-1.1062203977247475E-2</v>
      </c>
      <c r="F52" s="4">
        <f t="shared" si="1"/>
        <v>1.4619634861249384</v>
      </c>
      <c r="G52">
        <v>0.97484999999999999</v>
      </c>
      <c r="H52">
        <v>28.971</v>
      </c>
    </row>
    <row r="53" spans="5:8">
      <c r="E53" s="4">
        <f t="shared" si="0"/>
        <v>-2.1812840448705291E-3</v>
      </c>
      <c r="F53" s="4">
        <f t="shared" si="1"/>
        <v>1.4818867290486317</v>
      </c>
      <c r="G53">
        <v>0.99499000000000004</v>
      </c>
      <c r="H53">
        <v>30.331</v>
      </c>
    </row>
    <row r="54" spans="5:8">
      <c r="E54" s="4">
        <f t="shared" si="0"/>
        <v>6.3804585496930744E-3</v>
      </c>
      <c r="F54" s="4">
        <f t="shared" si="1"/>
        <v>1.5052314009021344</v>
      </c>
      <c r="G54">
        <v>1.0147999999999999</v>
      </c>
      <c r="H54">
        <v>32.006</v>
      </c>
    </row>
    <row r="55" spans="5:8">
      <c r="E55" s="4">
        <f t="shared" si="0"/>
        <v>1.4982308585481911E-2</v>
      </c>
      <c r="F55" s="4">
        <f t="shared" si="1"/>
        <v>1.5205490322480277</v>
      </c>
      <c r="G55">
        <v>1.0350999999999999</v>
      </c>
      <c r="H55">
        <v>33.155000000000001</v>
      </c>
    </row>
    <row r="56" spans="5:8">
      <c r="E56" s="4">
        <f t="shared" si="0"/>
        <v>2.2634539944119035E-2</v>
      </c>
      <c r="F56" s="4">
        <f t="shared" si="1"/>
        <v>1.5355472791766678</v>
      </c>
      <c r="G56">
        <v>1.0535000000000001</v>
      </c>
      <c r="H56">
        <v>34.32</v>
      </c>
    </row>
    <row r="57" spans="5:8">
      <c r="E57" s="4">
        <f t="shared" si="0"/>
        <v>3.0963842378275225E-2</v>
      </c>
      <c r="F57" s="4">
        <f t="shared" si="1"/>
        <v>1.5508762528428546</v>
      </c>
      <c r="G57">
        <v>1.0739000000000001</v>
      </c>
      <c r="H57">
        <v>35.552999999999997</v>
      </c>
    </row>
    <row r="58" spans="5:8">
      <c r="E58" s="4">
        <f t="shared" si="0"/>
        <v>3.8739348104748918E-2</v>
      </c>
      <c r="F58" s="4">
        <f t="shared" si="1"/>
        <v>1.5669204277558266</v>
      </c>
      <c r="G58">
        <v>1.0932999999999999</v>
      </c>
      <c r="H58">
        <v>36.890999999999998</v>
      </c>
    </row>
    <row r="59" spans="5:8">
      <c r="E59" s="4">
        <f t="shared" si="0"/>
        <v>4.6729222266486861E-2</v>
      </c>
      <c r="F59" s="4">
        <f t="shared" si="1"/>
        <v>1.583187434539076</v>
      </c>
      <c r="G59">
        <v>1.1135999999999999</v>
      </c>
      <c r="H59">
        <v>38.298999999999999</v>
      </c>
    </row>
    <row r="60" spans="5:8">
      <c r="E60" s="4">
        <f t="shared" si="0"/>
        <v>5.4191576796431794E-2</v>
      </c>
      <c r="F60" s="4">
        <f t="shared" si="1"/>
        <v>1.5940056017883415</v>
      </c>
      <c r="G60">
        <v>1.1329</v>
      </c>
      <c r="H60">
        <v>39.265000000000001</v>
      </c>
    </row>
    <row r="61" spans="5:8">
      <c r="E61" s="4">
        <f t="shared" si="0"/>
        <v>6.3746061613443442E-2</v>
      </c>
      <c r="F61" s="4">
        <f t="shared" si="1"/>
        <v>1.6070795447285711</v>
      </c>
      <c r="G61">
        <v>1.1580999999999999</v>
      </c>
      <c r="H61">
        <v>40.465000000000003</v>
      </c>
    </row>
    <row r="62" spans="5:8">
      <c r="E62" s="4">
        <f t="shared" si="0"/>
        <v>7.0813359702715475E-2</v>
      </c>
      <c r="F62" s="4">
        <f t="shared" si="1"/>
        <v>1.6175454894824173</v>
      </c>
      <c r="G62">
        <v>1.1771</v>
      </c>
      <c r="H62">
        <v>41.451999999999998</v>
      </c>
    </row>
    <row r="63" spans="5:8">
      <c r="E63" s="4">
        <f t="shared" si="0"/>
        <v>7.693157455565551E-2</v>
      </c>
      <c r="F63" s="4">
        <f t="shared" si="1"/>
        <v>1.6313422864839329</v>
      </c>
      <c r="G63">
        <v>1.1938</v>
      </c>
      <c r="H63">
        <v>42.79</v>
      </c>
    </row>
    <row r="64" spans="5:8">
      <c r="E64" s="4">
        <f t="shared" si="0"/>
        <v>8.4147133154448314E-2</v>
      </c>
      <c r="F64" s="4">
        <f t="shared" si="1"/>
        <v>1.6470404858549599</v>
      </c>
      <c r="G64">
        <v>1.2138</v>
      </c>
      <c r="H64">
        <v>44.365000000000002</v>
      </c>
    </row>
    <row r="65" spans="5:8">
      <c r="E65" s="1">
        <f t="shared" si="0"/>
        <v>9.0751689644903002E-2</v>
      </c>
      <c r="F65" s="1">
        <f t="shared" si="1"/>
        <v>1.6635878622184703</v>
      </c>
      <c r="G65" s="1">
        <v>1.2323999999999999</v>
      </c>
      <c r="H65" s="1">
        <v>46.088000000000001</v>
      </c>
    </row>
    <row r="66" spans="5:8">
      <c r="E66" s="4">
        <f t="shared" si="0"/>
        <v>9.7569639431371286E-2</v>
      </c>
      <c r="F66" s="4">
        <f t="shared" si="1"/>
        <v>1.679682220572482</v>
      </c>
      <c r="G66">
        <v>1.2519</v>
      </c>
      <c r="H66">
        <v>47.828000000000003</v>
      </c>
    </row>
    <row r="67" spans="5:8">
      <c r="E67" s="4">
        <f t="shared" si="0"/>
        <v>0.10476016663852508</v>
      </c>
      <c r="F67" s="4">
        <f t="shared" si="1"/>
        <v>1.6924767744012366</v>
      </c>
      <c r="G67">
        <v>1.2727999999999999</v>
      </c>
      <c r="H67">
        <v>49.258000000000003</v>
      </c>
    </row>
    <row r="68" spans="5:8">
      <c r="E68" s="4">
        <f t="shared" si="0"/>
        <v>0.11146415158665396</v>
      </c>
      <c r="F68" s="4">
        <f t="shared" si="1"/>
        <v>1.7037383423559316</v>
      </c>
      <c r="G68">
        <v>1.2926</v>
      </c>
      <c r="H68">
        <v>50.552</v>
      </c>
    </row>
    <row r="69" spans="5:8">
      <c r="E69" s="4">
        <f t="shared" si="0"/>
        <v>0.11763581738949418</v>
      </c>
      <c r="F69" s="4">
        <f t="shared" si="1"/>
        <v>1.7131207733977831</v>
      </c>
      <c r="G69">
        <v>1.3110999999999999</v>
      </c>
      <c r="H69">
        <v>51.655999999999999</v>
      </c>
    </row>
    <row r="70" spans="5:8">
      <c r="E70" s="4">
        <f t="shared" si="0"/>
        <v>0.12469980893211759</v>
      </c>
      <c r="F70" s="4">
        <f t="shared" si="1"/>
        <v>1.725102699808259</v>
      </c>
      <c r="G70">
        <v>1.3326</v>
      </c>
      <c r="H70">
        <v>53.100999999999999</v>
      </c>
    </row>
    <row r="71" spans="5:8">
      <c r="E71" s="4">
        <f t="shared" si="0"/>
        <v>0.1308160500347442</v>
      </c>
      <c r="F71" s="4">
        <f t="shared" si="1"/>
        <v>1.7352794480604568</v>
      </c>
      <c r="G71">
        <v>1.3514999999999999</v>
      </c>
      <c r="H71">
        <v>54.36</v>
      </c>
    </row>
    <row r="72" spans="5:8">
      <c r="E72" s="4">
        <f t="shared" si="0"/>
        <v>0.13741741499039214</v>
      </c>
      <c r="F72" s="4">
        <f t="shared" si="1"/>
        <v>1.7443712273318606</v>
      </c>
      <c r="G72">
        <v>1.3722000000000001</v>
      </c>
      <c r="H72">
        <v>55.51</v>
      </c>
    </row>
    <row r="73" spans="5:8">
      <c r="E73" s="4">
        <f t="shared" si="0"/>
        <v>0.14432507840048833</v>
      </c>
      <c r="F73" s="4">
        <f t="shared" si="1"/>
        <v>1.7554022080828255</v>
      </c>
      <c r="G73">
        <v>1.3942000000000001</v>
      </c>
      <c r="H73">
        <v>56.938000000000002</v>
      </c>
    </row>
    <row r="74" spans="5:8">
      <c r="E74" s="4">
        <f t="shared" si="0"/>
        <v>0.15026508697870372</v>
      </c>
      <c r="F74" s="4">
        <f t="shared" si="1"/>
        <v>1.7647737169110405</v>
      </c>
      <c r="G74">
        <v>1.4134</v>
      </c>
      <c r="H74">
        <v>58.18</v>
      </c>
    </row>
    <row r="75" spans="5:8">
      <c r="E75" s="4">
        <f t="shared" si="0"/>
        <v>0.15609463063942761</v>
      </c>
      <c r="F75" s="4">
        <f t="shared" si="1"/>
        <v>1.7743198461936518</v>
      </c>
      <c r="G75">
        <v>1.4325000000000001</v>
      </c>
      <c r="H75">
        <v>59.472999999999999</v>
      </c>
    </row>
    <row r="76" spans="5:8">
      <c r="E76" s="4">
        <f t="shared" si="0"/>
        <v>0.16154767312572746</v>
      </c>
      <c r="F76" s="4">
        <f t="shared" si="1"/>
        <v>1.7871131835008425</v>
      </c>
      <c r="G76">
        <v>1.4505999999999999</v>
      </c>
      <c r="H76">
        <v>61.250999999999998</v>
      </c>
    </row>
    <row r="77" spans="5:8">
      <c r="E77" s="4">
        <f t="shared" si="0"/>
        <v>0.16746502884308812</v>
      </c>
      <c r="F77" s="4">
        <f t="shared" si="1"/>
        <v>1.7972051974353558</v>
      </c>
      <c r="G77">
        <v>1.4704999999999999</v>
      </c>
      <c r="H77">
        <v>62.691000000000003</v>
      </c>
    </row>
    <row r="78" spans="5:8">
      <c r="E78" s="4">
        <f t="shared" si="0"/>
        <v>0.17356501785866163</v>
      </c>
      <c r="F78" s="4">
        <f t="shared" si="1"/>
        <v>1.8092094445375051</v>
      </c>
      <c r="G78">
        <v>1.4913000000000001</v>
      </c>
      <c r="H78">
        <v>64.447999999999993</v>
      </c>
    </row>
  </sheetData>
  <pageMargins left="0.75" right="0.75" top="1" bottom="1" header="0.5" footer="0.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A337"/>
  <sheetViews>
    <sheetView topLeftCell="A80" workbookViewId="0">
      <selection activeCell="M183" sqref="M183"/>
    </sheetView>
  </sheetViews>
  <sheetFormatPr defaultRowHeight="15"/>
  <cols>
    <col min="1" max="1" width="44.7109375" bestFit="1" customWidth="1"/>
    <col min="2" max="2" width="43.28515625" bestFit="1" customWidth="1"/>
    <col min="3" max="4" width="23.5703125" customWidth="1"/>
    <col min="5" max="5" width="23.85546875" customWidth="1"/>
    <col min="6" max="6" width="17.7109375" customWidth="1"/>
    <col min="7" max="7" width="20.7109375" customWidth="1"/>
    <col min="8" max="8" width="25.85546875" customWidth="1"/>
    <col min="9" max="9" width="14.140625" customWidth="1"/>
    <col min="10" max="10" width="25.85546875" customWidth="1"/>
    <col min="11" max="11" width="20.28515625" customWidth="1"/>
    <col min="12" max="12" width="16.28515625" customWidth="1"/>
    <col min="15" max="15" width="24.85546875" customWidth="1"/>
    <col min="16" max="16" width="46.5703125" customWidth="1"/>
    <col min="17" max="17" width="20.85546875" customWidth="1"/>
    <col min="18" max="18" width="16.5703125" customWidth="1"/>
    <col min="19" max="19" width="26.28515625" customWidth="1"/>
    <col min="20" max="20" width="46.5703125" customWidth="1"/>
    <col min="21" max="21" width="25" customWidth="1"/>
    <col min="22" max="22" width="22" customWidth="1"/>
    <col min="23" max="23" width="26.28515625" customWidth="1"/>
    <col min="24" max="24" width="19.5703125" customWidth="1"/>
    <col min="25" max="25" width="12.28515625" customWidth="1"/>
    <col min="26" max="26" width="8" customWidth="1"/>
    <col min="27" max="27" width="24.28515625" customWidth="1"/>
    <col min="28" max="28" width="9.140625" customWidth="1"/>
    <col min="29" max="29" width="10.85546875" customWidth="1"/>
    <col min="30" max="30" width="24.42578125" customWidth="1"/>
    <col min="31" max="31" width="27" customWidth="1"/>
    <col min="32" max="32" width="28.28515625" customWidth="1"/>
    <col min="33" max="33" width="13.140625" customWidth="1"/>
    <col min="34" max="34" width="12" customWidth="1"/>
    <col min="37" max="37" width="33.140625" customWidth="1"/>
    <col min="38" max="38" width="35" customWidth="1"/>
    <col min="39" max="39" width="15.140625" customWidth="1"/>
    <col min="40" max="40" width="20.7109375" customWidth="1"/>
    <col min="41" max="41" width="20.42578125" customWidth="1"/>
    <col min="42" max="42" width="33.140625" customWidth="1"/>
    <col min="43" max="43" width="35" customWidth="1"/>
    <col min="44" max="44" width="15.140625" customWidth="1"/>
    <col min="45" max="45" width="28.42578125" customWidth="1"/>
    <col min="46" max="46" width="15.5703125" customWidth="1"/>
    <col min="47" max="47" width="30.85546875" customWidth="1"/>
    <col min="48" max="48" width="27.85546875" customWidth="1"/>
    <col min="49" max="49" width="32.5703125" customWidth="1"/>
    <col min="50" max="50" width="28.85546875" customWidth="1"/>
    <col min="51" max="51" width="30.7109375" customWidth="1"/>
    <col min="52" max="52" width="30.42578125" customWidth="1"/>
    <col min="53" max="53" width="29" customWidth="1"/>
    <col min="54" max="54" width="26.28515625" customWidth="1"/>
    <col min="55" max="55" width="18.85546875" customWidth="1"/>
    <col min="56" max="56" width="16.140625" customWidth="1"/>
    <col min="58" max="58" width="12.7109375" customWidth="1"/>
    <col min="59" max="59" width="19.28515625" customWidth="1"/>
    <col min="60" max="60" width="17.42578125" customWidth="1"/>
    <col min="61" max="61" width="34.28515625" customWidth="1"/>
    <col min="62" max="62" width="30.28515625" customWidth="1"/>
    <col min="63" max="63" width="17.85546875" customWidth="1"/>
    <col min="64" max="64" width="33.85546875" customWidth="1"/>
    <col min="65" max="65" width="31.7109375" customWidth="1"/>
    <col min="66" max="66" width="33.140625" customWidth="1"/>
    <col min="67" max="67" width="35" customWidth="1"/>
    <col min="68" max="68" width="15.140625" customWidth="1"/>
    <col min="69" max="69" width="20.7109375" customWidth="1"/>
    <col min="70" max="70" width="33.140625" customWidth="1"/>
    <col min="71" max="71" width="35" customWidth="1"/>
    <col min="72" max="72" width="15.140625" customWidth="1"/>
    <col min="73" max="73" width="20.7109375" customWidth="1"/>
    <col min="74" max="74" width="20.42578125" customWidth="1"/>
    <col min="75" max="75" width="33.140625" customWidth="1"/>
    <col min="76" max="76" width="35" customWidth="1"/>
    <col min="77" max="77" width="15.140625" customWidth="1"/>
  </cols>
  <sheetData>
    <row r="1" spans="1:14">
      <c r="A1" s="2" t="s">
        <v>26</v>
      </c>
    </row>
    <row r="2" spans="1:14">
      <c r="A2" s="1" t="s">
        <v>27</v>
      </c>
    </row>
    <row r="3" spans="1:14">
      <c r="A3" t="s">
        <v>28</v>
      </c>
      <c r="B3" t="s">
        <v>29</v>
      </c>
      <c r="C3" t="s">
        <v>30</v>
      </c>
      <c r="D3" t="s">
        <v>31</v>
      </c>
      <c r="E3" s="3" t="s">
        <v>32</v>
      </c>
      <c r="F3" s="3" t="s">
        <v>33</v>
      </c>
      <c r="G3" s="4" t="s">
        <v>34</v>
      </c>
      <c r="H3" s="5" t="s">
        <v>35</v>
      </c>
      <c r="I3" s="5" t="s">
        <v>36</v>
      </c>
      <c r="J3" s="5" t="s">
        <v>37</v>
      </c>
      <c r="K3" s="5" t="s">
        <v>38</v>
      </c>
      <c r="L3" s="5" t="s">
        <v>39</v>
      </c>
      <c r="M3" s="5" t="s">
        <v>40</v>
      </c>
      <c r="N3" s="5" t="s">
        <v>39</v>
      </c>
    </row>
    <row r="4" spans="1:14">
      <c r="A4">
        <v>0</v>
      </c>
      <c r="B4">
        <v>0</v>
      </c>
      <c r="C4">
        <f t="shared" ref="C4:C67" si="0">B4/(1000*60)</f>
        <v>0</v>
      </c>
      <c r="D4">
        <f t="shared" ref="D4:D67" si="1">A4+1</f>
        <v>1</v>
      </c>
      <c r="E4">
        <f t="shared" ref="E4:E67" si="2">D4-1</f>
        <v>0</v>
      </c>
      <c r="F4">
        <f t="shared" ref="F4:F67" si="3">E4*100000</f>
        <v>0</v>
      </c>
      <c r="G4" s="4" t="e">
        <f>(0.00001781*0.000134*C4)/(0.0002688*F4)</f>
        <v>#DIV/0!</v>
      </c>
      <c r="H4" s="4" t="e">
        <f>G4/(0.0000000000009869233)</f>
        <v>#DIV/0!</v>
      </c>
      <c r="I4" s="4" t="e">
        <f>LOG(F4)</f>
        <v>#NUM!</v>
      </c>
      <c r="J4" t="e">
        <f>LOG(H4)</f>
        <v>#DIV/0!</v>
      </c>
      <c r="K4" t="e">
        <f>LOG(A4)</f>
        <v>#NUM!</v>
      </c>
      <c r="L4" t="e">
        <f>LOG(B4)</f>
        <v>#NUM!</v>
      </c>
      <c r="M4" t="e">
        <f>LOG(F4)</f>
        <v>#NUM!</v>
      </c>
      <c r="N4" t="e">
        <f>LOG(B4)</f>
        <v>#NUM!</v>
      </c>
    </row>
    <row r="5" spans="1:14">
      <c r="A5">
        <v>5.2881999999999998E-3</v>
      </c>
      <c r="B5">
        <v>2.1229E-3</v>
      </c>
      <c r="C5">
        <f t="shared" si="0"/>
        <v>3.5381666666666669E-8</v>
      </c>
      <c r="D5">
        <f t="shared" si="1"/>
        <v>1.0052882000000001</v>
      </c>
      <c r="E5">
        <f t="shared" si="2"/>
        <v>5.2882000000000762E-3</v>
      </c>
      <c r="F5">
        <f t="shared" si="3"/>
        <v>528.82000000000767</v>
      </c>
      <c r="G5" s="4">
        <f t="shared" ref="G5:G27" si="4">(0.00001781*0.000134*C5)/(0.0002688*F5)</f>
        <v>5.9403203773952612E-16</v>
      </c>
      <c r="H5" s="4">
        <f t="shared" ref="H5:H27" si="5">G5/(0.0000000000009869233)</f>
        <v>6.0190294194039805E-4</v>
      </c>
      <c r="I5" s="4">
        <f t="shared" ref="I5:I27" si="6">LOG(F5)</f>
        <v>2.723307871828168</v>
      </c>
      <c r="J5">
        <f t="shared" ref="J5:J27" si="7">LOG(H5)</f>
        <v>-3.2204735339548938</v>
      </c>
      <c r="K5">
        <f t="shared" ref="K5:L68" si="8">LOG(A5)</f>
        <v>-2.2766921281718382</v>
      </c>
      <c r="L5">
        <f t="shared" si="8"/>
        <v>-2.673070462956495</v>
      </c>
      <c r="M5">
        <f t="shared" ref="M5:M68" si="9">LOG(F5)</f>
        <v>2.723307871828168</v>
      </c>
      <c r="N5">
        <f t="shared" ref="N5:N68" si="10">LOG(B5)</f>
        <v>-2.673070462956495</v>
      </c>
    </row>
    <row r="6" spans="1:14">
      <c r="A6">
        <v>2.0247000000000001E-2</v>
      </c>
      <c r="B6">
        <v>1.1215000000000001E-3</v>
      </c>
      <c r="C6">
        <f t="shared" si="0"/>
        <v>1.8691666666666667E-8</v>
      </c>
      <c r="D6">
        <f t="shared" si="1"/>
        <v>1.0202469999999999</v>
      </c>
      <c r="E6">
        <f t="shared" si="2"/>
        <v>2.0246999999999904E-2</v>
      </c>
      <c r="F6">
        <f t="shared" si="3"/>
        <v>2024.6999999999905</v>
      </c>
      <c r="G6" s="4">
        <f t="shared" si="4"/>
        <v>8.1964689519454987E-17</v>
      </c>
      <c r="H6" s="4">
        <f t="shared" si="5"/>
        <v>8.3050718854702272E-5</v>
      </c>
      <c r="I6" s="4">
        <f t="shared" si="6"/>
        <v>3.3063606828610492</v>
      </c>
      <c r="J6">
        <f t="shared" si="7"/>
        <v>-4.0806566041122929</v>
      </c>
      <c r="K6">
        <f t="shared" si="8"/>
        <v>-1.6936393171389486</v>
      </c>
      <c r="L6">
        <f t="shared" si="8"/>
        <v>-2.9502007220810134</v>
      </c>
      <c r="M6">
        <f t="shared" si="9"/>
        <v>3.3063606828610492</v>
      </c>
      <c r="N6">
        <f t="shared" si="10"/>
        <v>-2.9502007220810134</v>
      </c>
    </row>
    <row r="7" spans="1:14">
      <c r="A7">
        <v>4.0279000000000002E-2</v>
      </c>
      <c r="B7">
        <v>2.7236999999999999E-3</v>
      </c>
      <c r="C7">
        <f t="shared" si="0"/>
        <v>4.5394999999999997E-8</v>
      </c>
      <c r="D7">
        <f t="shared" si="1"/>
        <v>1.040279</v>
      </c>
      <c r="E7">
        <f t="shared" si="2"/>
        <v>4.0278999999999954E-2</v>
      </c>
      <c r="F7">
        <f t="shared" si="3"/>
        <v>4027.8999999999955</v>
      </c>
      <c r="G7" s="4">
        <f t="shared" si="4"/>
        <v>1.0006191126786511E-16</v>
      </c>
      <c r="H7" s="4">
        <f t="shared" si="5"/>
        <v>1.0138772817286318E-4</v>
      </c>
      <c r="I7" s="4">
        <f t="shared" si="6"/>
        <v>3.6050786798589152</v>
      </c>
      <c r="J7">
        <f t="shared" si="7"/>
        <v>-3.9940146082111463</v>
      </c>
      <c r="K7">
        <f t="shared" si="8"/>
        <v>-1.3949213201410844</v>
      </c>
      <c r="L7">
        <f t="shared" si="8"/>
        <v>-2.5648407291820008</v>
      </c>
      <c r="M7">
        <f t="shared" si="9"/>
        <v>3.6050786798589152</v>
      </c>
      <c r="N7">
        <f t="shared" si="10"/>
        <v>-2.5648407291820008</v>
      </c>
    </row>
    <row r="8" spans="1:14">
      <c r="A8">
        <v>6.0200999999999998E-2</v>
      </c>
      <c r="B8">
        <v>2.8839999999999998E-3</v>
      </c>
      <c r="C8">
        <f t="shared" si="0"/>
        <v>4.8066666666666667E-8</v>
      </c>
      <c r="D8">
        <f t="shared" si="1"/>
        <v>1.0602009999999999</v>
      </c>
      <c r="E8">
        <f t="shared" si="2"/>
        <v>6.0200999999999949E-2</v>
      </c>
      <c r="F8">
        <f t="shared" si="3"/>
        <v>6020.0999999999949</v>
      </c>
      <c r="G8" s="4">
        <f t="shared" si="4"/>
        <v>7.0889147513238131E-17</v>
      </c>
      <c r="H8" s="4">
        <f t="shared" si="5"/>
        <v>7.1828426295374859E-5</v>
      </c>
      <c r="I8" s="4">
        <f t="shared" si="6"/>
        <v>3.779603705391958</v>
      </c>
      <c r="J8">
        <f t="shared" si="7"/>
        <v>-4.1437036485147969</v>
      </c>
      <c r="K8">
        <f t="shared" si="8"/>
        <v>-1.2203962946080418</v>
      </c>
      <c r="L8">
        <f t="shared" si="8"/>
        <v>-2.5400047439526086</v>
      </c>
      <c r="M8">
        <f t="shared" si="9"/>
        <v>3.779603705391958</v>
      </c>
      <c r="N8">
        <f t="shared" si="10"/>
        <v>-2.5400047439526086</v>
      </c>
    </row>
    <row r="9" spans="1:14">
      <c r="A9">
        <v>8.0103999999999995E-2</v>
      </c>
      <c r="B9">
        <v>2.8839999999999998E-3</v>
      </c>
      <c r="C9">
        <f t="shared" si="0"/>
        <v>4.8066666666666667E-8</v>
      </c>
      <c r="D9">
        <f t="shared" si="1"/>
        <v>1.080104</v>
      </c>
      <c r="E9">
        <f t="shared" si="2"/>
        <v>8.0103999999999953E-2</v>
      </c>
      <c r="F9">
        <f t="shared" si="3"/>
        <v>8010.3999999999951</v>
      </c>
      <c r="G9" s="4">
        <f t="shared" si="4"/>
        <v>5.3275711193504046E-17</v>
      </c>
      <c r="H9" s="4">
        <f t="shared" si="5"/>
        <v>5.3981612546288083E-5</v>
      </c>
      <c r="I9" s="4">
        <f t="shared" si="6"/>
        <v>3.9036542031573189</v>
      </c>
      <c r="J9">
        <f t="shared" si="7"/>
        <v>-4.2677541462801578</v>
      </c>
      <c r="K9">
        <f t="shared" si="8"/>
        <v>-1.0963457968426809</v>
      </c>
      <c r="L9">
        <f t="shared" si="8"/>
        <v>-2.5400047439526086</v>
      </c>
      <c r="M9">
        <f t="shared" si="9"/>
        <v>3.9036542031573189</v>
      </c>
      <c r="N9">
        <f t="shared" si="10"/>
        <v>-2.5400047439526086</v>
      </c>
    </row>
    <row r="10" spans="1:14">
      <c r="A10">
        <v>9.9887000000000004E-2</v>
      </c>
      <c r="B10">
        <v>3.5247999999999998E-3</v>
      </c>
      <c r="C10">
        <f t="shared" si="0"/>
        <v>5.8746666666666661E-8</v>
      </c>
      <c r="D10">
        <f t="shared" si="1"/>
        <v>1.0998870000000001</v>
      </c>
      <c r="E10">
        <f t="shared" si="2"/>
        <v>9.9887000000000059E-2</v>
      </c>
      <c r="F10">
        <f t="shared" si="3"/>
        <v>9988.7000000000062</v>
      </c>
      <c r="G10" s="4">
        <f t="shared" si="4"/>
        <v>5.2217215969918994E-17</v>
      </c>
      <c r="H10" s="4">
        <f t="shared" si="5"/>
        <v>5.2909092297161278E-5</v>
      </c>
      <c r="I10" s="4">
        <f t="shared" si="6"/>
        <v>3.9995089697510795</v>
      </c>
      <c r="J10">
        <f t="shared" si="7"/>
        <v>-4.2764696891146183</v>
      </c>
      <c r="K10">
        <f t="shared" si="8"/>
        <v>-1.0004910302489205</v>
      </c>
      <c r="L10">
        <f t="shared" si="8"/>
        <v>-2.4528655201933076</v>
      </c>
      <c r="M10">
        <f t="shared" si="9"/>
        <v>3.9995089697510795</v>
      </c>
      <c r="N10">
        <f t="shared" si="10"/>
        <v>-2.4528655201933076</v>
      </c>
    </row>
    <row r="11" spans="1:14">
      <c r="A11">
        <v>0.12037</v>
      </c>
      <c r="B11">
        <v>9.6132000000000006E-3</v>
      </c>
      <c r="C11">
        <f t="shared" si="0"/>
        <v>1.6022000000000001E-7</v>
      </c>
      <c r="D11">
        <f t="shared" si="1"/>
        <v>1.1203700000000001</v>
      </c>
      <c r="E11">
        <f t="shared" si="2"/>
        <v>0.12037000000000009</v>
      </c>
      <c r="F11">
        <f t="shared" si="3"/>
        <v>12037.000000000009</v>
      </c>
      <c r="G11" s="4">
        <f t="shared" si="4"/>
        <v>1.1817834951854792E-16</v>
      </c>
      <c r="H11" s="4">
        <f t="shared" si="5"/>
        <v>1.1974420861129523E-4</v>
      </c>
      <c r="I11" s="4">
        <f t="shared" si="6"/>
        <v>4.0805182605271177</v>
      </c>
      <c r="J11">
        <f t="shared" si="7"/>
        <v>-3.9217454819132214</v>
      </c>
      <c r="K11">
        <f t="shared" si="8"/>
        <v>-0.91948173947288225</v>
      </c>
      <c r="L11">
        <f t="shared" si="8"/>
        <v>-2.0171320222158728</v>
      </c>
      <c r="M11">
        <f t="shared" si="9"/>
        <v>4.0805182605271177</v>
      </c>
      <c r="N11">
        <f t="shared" si="10"/>
        <v>-2.0171320222158728</v>
      </c>
    </row>
    <row r="12" spans="1:14">
      <c r="A12">
        <v>0.13988999999999999</v>
      </c>
      <c r="B12">
        <v>5.4475000000000001E-3</v>
      </c>
      <c r="C12">
        <f t="shared" si="0"/>
        <v>9.0791666666666667E-8</v>
      </c>
      <c r="D12">
        <f t="shared" si="1"/>
        <v>1.1398900000000001</v>
      </c>
      <c r="E12">
        <f t="shared" si="2"/>
        <v>0.13989000000000007</v>
      </c>
      <c r="F12">
        <f t="shared" si="3"/>
        <v>13989.000000000007</v>
      </c>
      <c r="G12" s="4">
        <f t="shared" si="4"/>
        <v>5.762338568065667E-17</v>
      </c>
      <c r="H12" s="4">
        <f t="shared" si="5"/>
        <v>5.8386893571827378E-5</v>
      </c>
      <c r="I12" s="4">
        <f t="shared" si="6"/>
        <v>4.1457866701741546</v>
      </c>
      <c r="J12">
        <f t="shared" si="7"/>
        <v>-4.233684630426092</v>
      </c>
      <c r="K12">
        <f t="shared" si="8"/>
        <v>-0.85421332982584552</v>
      </c>
      <c r="L12">
        <f t="shared" si="8"/>
        <v>-2.2638027610817066</v>
      </c>
      <c r="M12">
        <f t="shared" si="9"/>
        <v>4.1457866701741546</v>
      </c>
      <c r="N12">
        <f t="shared" si="10"/>
        <v>-2.2638027610817066</v>
      </c>
    </row>
    <row r="13" spans="1:14">
      <c r="A13">
        <v>0.15967999999999999</v>
      </c>
      <c r="B13">
        <v>5.2873E-3</v>
      </c>
      <c r="C13">
        <f t="shared" si="0"/>
        <v>8.8121666666666671E-8</v>
      </c>
      <c r="D13">
        <f t="shared" si="1"/>
        <v>1.15968</v>
      </c>
      <c r="E13">
        <f t="shared" si="2"/>
        <v>0.15968000000000004</v>
      </c>
      <c r="F13">
        <f t="shared" si="3"/>
        <v>15968.000000000004</v>
      </c>
      <c r="G13" s="4">
        <f t="shared" si="4"/>
        <v>4.8997241685441826E-17</v>
      </c>
      <c r="H13" s="4">
        <f t="shared" si="5"/>
        <v>4.9646453463447285E-5</v>
      </c>
      <c r="I13" s="4">
        <f t="shared" si="6"/>
        <v>4.2032505239432956</v>
      </c>
      <c r="J13">
        <f t="shared" si="7"/>
        <v>-4.3041117702555614</v>
      </c>
      <c r="K13">
        <f t="shared" si="8"/>
        <v>-0.7967494760567041</v>
      </c>
      <c r="L13">
        <f t="shared" si="8"/>
        <v>-2.2767660471420346</v>
      </c>
      <c r="M13">
        <f t="shared" si="9"/>
        <v>4.2032505239432956</v>
      </c>
      <c r="N13">
        <f t="shared" si="10"/>
        <v>-2.2767660471420346</v>
      </c>
    </row>
    <row r="14" spans="1:14">
      <c r="A14">
        <v>0.17959</v>
      </c>
      <c r="B14">
        <v>7.0496999999999999E-3</v>
      </c>
      <c r="C14">
        <f t="shared" si="0"/>
        <v>1.1749499999999999E-7</v>
      </c>
      <c r="D14">
        <f t="shared" si="1"/>
        <v>1.1795899999999999</v>
      </c>
      <c r="E14">
        <f t="shared" si="2"/>
        <v>0.17958999999999992</v>
      </c>
      <c r="F14">
        <f t="shared" si="3"/>
        <v>17958.999999999993</v>
      </c>
      <c r="G14" s="4">
        <f t="shared" si="4"/>
        <v>5.8086697912606524E-17</v>
      </c>
      <c r="H14" s="4">
        <f t="shared" si="5"/>
        <v>5.8856344675018331E-5</v>
      </c>
      <c r="I14" s="4">
        <f t="shared" si="6"/>
        <v>4.2542821504508312</v>
      </c>
      <c r="J14">
        <f t="shared" si="7"/>
        <v>-4.2302067136391299</v>
      </c>
      <c r="K14">
        <f t="shared" si="8"/>
        <v>-0.74571784954916853</v>
      </c>
      <c r="L14">
        <f t="shared" si="8"/>
        <v>-2.1518293640180683</v>
      </c>
      <c r="M14">
        <f t="shared" si="9"/>
        <v>4.2542821504508312</v>
      </c>
      <c r="N14">
        <f t="shared" si="10"/>
        <v>-2.1518293640180683</v>
      </c>
    </row>
    <row r="15" spans="1:14">
      <c r="A15">
        <v>0.19919000000000001</v>
      </c>
      <c r="B15">
        <v>1.3298000000000001E-2</v>
      </c>
      <c r="C15">
        <f t="shared" si="0"/>
        <v>2.2163333333333335E-7</v>
      </c>
      <c r="D15">
        <f t="shared" si="1"/>
        <v>1.19919</v>
      </c>
      <c r="E15">
        <f t="shared" si="2"/>
        <v>0.19918999999999998</v>
      </c>
      <c r="F15">
        <f t="shared" si="3"/>
        <v>19918.999999999996</v>
      </c>
      <c r="G15" s="4">
        <f t="shared" si="4"/>
        <v>9.8788638504793666E-17</v>
      </c>
      <c r="H15" s="4">
        <f t="shared" si="5"/>
        <v>1.0009758458919113E-4</v>
      </c>
      <c r="I15" s="4">
        <f t="shared" si="6"/>
        <v>4.299267531608602</v>
      </c>
      <c r="J15">
        <f t="shared" si="7"/>
        <v>-3.9995764021634606</v>
      </c>
      <c r="K15">
        <f t="shared" si="8"/>
        <v>-0.70073246839139802</v>
      </c>
      <c r="L15">
        <f t="shared" si="8"/>
        <v>-1.876213671384628</v>
      </c>
      <c r="M15">
        <f t="shared" si="9"/>
        <v>4.299267531608602</v>
      </c>
      <c r="N15">
        <f t="shared" si="10"/>
        <v>-1.876213671384628</v>
      </c>
    </row>
    <row r="16" spans="1:14">
      <c r="A16">
        <v>0.21886</v>
      </c>
      <c r="B16">
        <v>4.4060000000000002E-2</v>
      </c>
      <c r="C16">
        <f t="shared" si="0"/>
        <v>7.3433333333333341E-7</v>
      </c>
      <c r="D16">
        <f t="shared" si="1"/>
        <v>1.2188600000000001</v>
      </c>
      <c r="E16">
        <f t="shared" si="2"/>
        <v>0.21886000000000005</v>
      </c>
      <c r="F16">
        <f t="shared" si="3"/>
        <v>21886.000000000004</v>
      </c>
      <c r="G16" s="4">
        <f t="shared" si="4"/>
        <v>2.978971175401685E-16</v>
      </c>
      <c r="H16" s="4">
        <f t="shared" si="5"/>
        <v>3.0184424416787858E-4</v>
      </c>
      <c r="I16" s="4">
        <f t="shared" si="6"/>
        <v>4.3401663948860767</v>
      </c>
      <c r="J16">
        <f t="shared" si="7"/>
        <v>-3.5202171012415584</v>
      </c>
      <c r="K16">
        <f t="shared" si="8"/>
        <v>-0.65983360511392353</v>
      </c>
      <c r="L16">
        <f t="shared" si="8"/>
        <v>-1.3559555071852512</v>
      </c>
      <c r="M16">
        <f t="shared" si="9"/>
        <v>4.3401663948860767</v>
      </c>
      <c r="N16">
        <f t="shared" si="10"/>
        <v>-1.3559555071852512</v>
      </c>
    </row>
    <row r="17" spans="1:14">
      <c r="A17">
        <v>0.23946999999999999</v>
      </c>
      <c r="B17">
        <v>0.11935999999999999</v>
      </c>
      <c r="C17">
        <f t="shared" si="0"/>
        <v>1.9893333333333331E-6</v>
      </c>
      <c r="D17">
        <f t="shared" si="1"/>
        <v>1.2394700000000001</v>
      </c>
      <c r="E17">
        <f t="shared" si="2"/>
        <v>0.23947000000000007</v>
      </c>
      <c r="F17">
        <f t="shared" si="3"/>
        <v>23947.000000000007</v>
      </c>
      <c r="G17" s="4">
        <f t="shared" si="4"/>
        <v>7.3755752617718612E-16</v>
      </c>
      <c r="H17" s="4">
        <f t="shared" si="5"/>
        <v>7.4733013819532491E-4</v>
      </c>
      <c r="I17" s="4">
        <f t="shared" si="6"/>
        <v>4.3792511141993193</v>
      </c>
      <c r="J17">
        <f t="shared" si="7"/>
        <v>-3.1264875032409565</v>
      </c>
      <c r="K17">
        <f t="shared" si="8"/>
        <v>-0.62074888580068066</v>
      </c>
      <c r="L17">
        <f t="shared" si="8"/>
        <v>-0.92314118987140648</v>
      </c>
      <c r="M17">
        <f t="shared" si="9"/>
        <v>4.3792511141993193</v>
      </c>
      <c r="N17">
        <f t="shared" si="10"/>
        <v>-0.92314118987140648</v>
      </c>
    </row>
    <row r="18" spans="1:14">
      <c r="A18">
        <v>0.25890999999999997</v>
      </c>
      <c r="B18">
        <v>0.26495999999999997</v>
      </c>
      <c r="C18">
        <f t="shared" si="0"/>
        <v>4.4159999999999997E-6</v>
      </c>
      <c r="D18">
        <f t="shared" si="1"/>
        <v>1.25891</v>
      </c>
      <c r="E18">
        <f t="shared" si="2"/>
        <v>0.25890999999999997</v>
      </c>
      <c r="F18">
        <f t="shared" si="3"/>
        <v>25890.999999999996</v>
      </c>
      <c r="G18" s="4">
        <f t="shared" si="4"/>
        <v>1.514327096564168E-15</v>
      </c>
      <c r="H18" s="4">
        <f t="shared" si="5"/>
        <v>1.534391878846277E-3</v>
      </c>
      <c r="I18" s="4">
        <f t="shared" si="6"/>
        <v>4.413148824714316</v>
      </c>
      <c r="J18">
        <f t="shared" si="7"/>
        <v>-2.8140637087797606</v>
      </c>
      <c r="K18">
        <f t="shared" si="8"/>
        <v>-0.58685117528568354</v>
      </c>
      <c r="L18">
        <f t="shared" si="8"/>
        <v>-0.57681968489521396</v>
      </c>
      <c r="M18">
        <f t="shared" si="9"/>
        <v>4.413148824714316</v>
      </c>
      <c r="N18">
        <f t="shared" si="10"/>
        <v>-0.57681968489521396</v>
      </c>
    </row>
    <row r="19" spans="1:14">
      <c r="A19">
        <v>0.27866000000000002</v>
      </c>
      <c r="B19">
        <v>0.51261999999999996</v>
      </c>
      <c r="C19">
        <f t="shared" si="0"/>
        <v>8.5436666666666658E-6</v>
      </c>
      <c r="D19">
        <f t="shared" si="1"/>
        <v>1.2786599999999999</v>
      </c>
      <c r="E19">
        <f t="shared" si="2"/>
        <v>0.27865999999999991</v>
      </c>
      <c r="F19">
        <f t="shared" si="3"/>
        <v>27865.999999999989</v>
      </c>
      <c r="G19" s="4">
        <f t="shared" si="4"/>
        <v>2.7221315966561642E-15</v>
      </c>
      <c r="H19" s="4">
        <f t="shared" si="5"/>
        <v>2.7581997472915717E-3</v>
      </c>
      <c r="I19" s="4">
        <f t="shared" si="6"/>
        <v>4.4450746327749302</v>
      </c>
      <c r="J19">
        <f t="shared" si="7"/>
        <v>-2.5593742856564465</v>
      </c>
      <c r="K19">
        <f t="shared" si="8"/>
        <v>-0.55492536722506935</v>
      </c>
      <c r="L19">
        <f t="shared" si="8"/>
        <v>-0.29020445371128561</v>
      </c>
      <c r="M19">
        <f t="shared" si="9"/>
        <v>4.4450746327749302</v>
      </c>
      <c r="N19">
        <f t="shared" si="10"/>
        <v>-0.29020445371128561</v>
      </c>
    </row>
    <row r="20" spans="1:14">
      <c r="A20">
        <v>0.29862</v>
      </c>
      <c r="B20">
        <v>0.94389000000000001</v>
      </c>
      <c r="C20">
        <f t="shared" si="0"/>
        <v>1.57315E-5</v>
      </c>
      <c r="D20">
        <f t="shared" si="1"/>
        <v>1.2986200000000001</v>
      </c>
      <c r="E20">
        <f t="shared" si="2"/>
        <v>0.29862000000000011</v>
      </c>
      <c r="F20">
        <f t="shared" si="3"/>
        <v>29862.000000000011</v>
      </c>
      <c r="G20" s="4">
        <f t="shared" si="4"/>
        <v>4.6772512199470728E-15</v>
      </c>
      <c r="H20" s="4">
        <f t="shared" si="5"/>
        <v>4.7392246387810205E-3</v>
      </c>
      <c r="I20" s="4">
        <f t="shared" si="6"/>
        <v>4.4751188911276669</v>
      </c>
      <c r="J20">
        <f t="shared" si="7"/>
        <v>-2.3242927052970477</v>
      </c>
      <c r="K20">
        <f t="shared" si="8"/>
        <v>-0.52488110887233319</v>
      </c>
      <c r="L20">
        <f t="shared" si="8"/>
        <v>-2.5078614999150057E-2</v>
      </c>
      <c r="M20">
        <f t="shared" si="9"/>
        <v>4.4751188911276669</v>
      </c>
      <c r="N20">
        <f t="shared" si="10"/>
        <v>-2.5078614999150057E-2</v>
      </c>
    </row>
    <row r="21" spans="1:14">
      <c r="A21">
        <v>0.31811</v>
      </c>
      <c r="B21">
        <v>11.211</v>
      </c>
      <c r="C21">
        <f t="shared" si="0"/>
        <v>1.8685000000000002E-4</v>
      </c>
      <c r="D21">
        <f t="shared" si="1"/>
        <v>1.3181099999999999</v>
      </c>
      <c r="E21">
        <f t="shared" si="2"/>
        <v>0.31810999999999989</v>
      </c>
      <c r="F21">
        <f t="shared" si="3"/>
        <v>31810.999999999989</v>
      </c>
      <c r="G21" s="4">
        <f t="shared" si="4"/>
        <v>5.2150110618930885E-14</v>
      </c>
      <c r="H21" s="4">
        <f t="shared" si="5"/>
        <v>5.2841097802565691E-2</v>
      </c>
      <c r="I21" s="4">
        <f t="shared" si="6"/>
        <v>4.5025773216586256</v>
      </c>
      <c r="J21">
        <f t="shared" si="7"/>
        <v>-1.2770281682595563</v>
      </c>
      <c r="K21">
        <f t="shared" si="8"/>
        <v>-0.49742267834137405</v>
      </c>
      <c r="L21">
        <f t="shared" si="8"/>
        <v>1.0496443525693</v>
      </c>
      <c r="M21">
        <f t="shared" si="9"/>
        <v>4.5025773216586256</v>
      </c>
      <c r="N21">
        <f t="shared" si="10"/>
        <v>1.0496443525693</v>
      </c>
    </row>
    <row r="22" spans="1:14">
      <c r="A22">
        <v>0.33789999999999998</v>
      </c>
      <c r="B22">
        <v>12.685</v>
      </c>
      <c r="C22">
        <f t="shared" si="0"/>
        <v>2.1141666666666666E-4</v>
      </c>
      <c r="D22">
        <f t="shared" si="1"/>
        <v>1.3378999999999999</v>
      </c>
      <c r="E22">
        <f t="shared" si="2"/>
        <v>0.33789999999999987</v>
      </c>
      <c r="F22">
        <f t="shared" si="3"/>
        <v>33789.999999999985</v>
      </c>
      <c r="G22" s="4">
        <f t="shared" si="4"/>
        <v>5.5550821124111617E-14</v>
      </c>
      <c r="H22" s="4">
        <f t="shared" si="5"/>
        <v>5.6286867605731483E-2</v>
      </c>
      <c r="I22" s="4">
        <f t="shared" si="6"/>
        <v>4.528788191774896</v>
      </c>
      <c r="J22">
        <f t="shared" si="7"/>
        <v>-1.2495929193873772</v>
      </c>
      <c r="K22">
        <f t="shared" si="8"/>
        <v>-0.47121180822510372</v>
      </c>
      <c r="L22">
        <f t="shared" si="8"/>
        <v>1.1032904715577496</v>
      </c>
      <c r="M22">
        <f t="shared" si="9"/>
        <v>4.528788191774896</v>
      </c>
      <c r="N22">
        <f t="shared" si="10"/>
        <v>1.1032904715577496</v>
      </c>
    </row>
    <row r="23" spans="1:14">
      <c r="A23">
        <v>0.35868</v>
      </c>
      <c r="B23">
        <v>14.170999999999999</v>
      </c>
      <c r="C23">
        <f t="shared" si="0"/>
        <v>2.3618333333333332E-4</v>
      </c>
      <c r="D23">
        <f t="shared" si="1"/>
        <v>1.3586800000000001</v>
      </c>
      <c r="E23">
        <f t="shared" si="2"/>
        <v>0.35868000000000011</v>
      </c>
      <c r="F23">
        <f t="shared" si="3"/>
        <v>35868.000000000015</v>
      </c>
      <c r="G23" s="4">
        <f t="shared" si="4"/>
        <v>5.8463059609496272E-14</v>
      </c>
      <c r="H23" s="4">
        <f t="shared" si="5"/>
        <v>5.9237693151530893E-2</v>
      </c>
      <c r="I23" s="4">
        <f t="shared" si="6"/>
        <v>4.5547071610869061</v>
      </c>
      <c r="J23">
        <f t="shared" si="7"/>
        <v>-1.2274018622215186</v>
      </c>
      <c r="K23">
        <f t="shared" si="8"/>
        <v>-0.44529283891309446</v>
      </c>
      <c r="L23">
        <f t="shared" si="8"/>
        <v>1.1514004980356176</v>
      </c>
      <c r="M23">
        <f t="shared" si="9"/>
        <v>4.5547071610869061</v>
      </c>
      <c r="N23">
        <f t="shared" si="10"/>
        <v>1.1514004980356176</v>
      </c>
    </row>
    <row r="24" spans="1:14">
      <c r="A24">
        <v>0.37808999999999998</v>
      </c>
      <c r="B24">
        <v>15.845000000000001</v>
      </c>
      <c r="C24">
        <f t="shared" si="0"/>
        <v>2.6408333333333335E-4</v>
      </c>
      <c r="D24">
        <f t="shared" si="1"/>
        <v>1.37809</v>
      </c>
      <c r="E24">
        <f t="shared" si="2"/>
        <v>0.37809000000000004</v>
      </c>
      <c r="F24">
        <f t="shared" si="3"/>
        <v>37809.000000000007</v>
      </c>
      <c r="G24" s="4">
        <f t="shared" si="4"/>
        <v>6.201335896314895E-14</v>
      </c>
      <c r="H24" s="4">
        <f t="shared" si="5"/>
        <v>6.2835033850299149E-2</v>
      </c>
      <c r="I24" s="4">
        <f t="shared" si="6"/>
        <v>4.5775951909773172</v>
      </c>
      <c r="J24">
        <f t="shared" si="7"/>
        <v>-1.2017981466212282</v>
      </c>
      <c r="K24">
        <f t="shared" si="8"/>
        <v>-0.42240480902268318</v>
      </c>
      <c r="L24">
        <f t="shared" si="8"/>
        <v>1.1998922435263193</v>
      </c>
      <c r="M24">
        <f t="shared" si="9"/>
        <v>4.5775951909773172</v>
      </c>
      <c r="N24">
        <f t="shared" si="10"/>
        <v>1.1998922435263193</v>
      </c>
    </row>
    <row r="25" spans="1:14">
      <c r="A25">
        <v>0.3977</v>
      </c>
      <c r="B25">
        <v>17.239999999999998</v>
      </c>
      <c r="C25">
        <f t="shared" si="0"/>
        <v>2.8733333333333329E-4</v>
      </c>
      <c r="D25">
        <f t="shared" si="1"/>
        <v>1.3976999999999999</v>
      </c>
      <c r="E25">
        <f t="shared" si="2"/>
        <v>0.39769999999999994</v>
      </c>
      <c r="F25">
        <f t="shared" si="3"/>
        <v>39769.999999999993</v>
      </c>
      <c r="G25" s="4">
        <f t="shared" si="4"/>
        <v>6.4146043370411628E-14</v>
      </c>
      <c r="H25" s="4">
        <f t="shared" si="5"/>
        <v>6.4995976253080276E-2</v>
      </c>
      <c r="I25" s="4">
        <f t="shared" si="6"/>
        <v>4.5995555909859807</v>
      </c>
      <c r="J25">
        <f t="shared" si="7"/>
        <v>-1.187113528667517</v>
      </c>
      <c r="K25">
        <f t="shared" si="8"/>
        <v>-0.40044440901401968</v>
      </c>
      <c r="L25">
        <f t="shared" si="8"/>
        <v>1.236537261488694</v>
      </c>
      <c r="M25">
        <f t="shared" si="9"/>
        <v>4.5995555909859807</v>
      </c>
      <c r="N25">
        <f t="shared" si="10"/>
        <v>1.236537261488694</v>
      </c>
    </row>
    <row r="26" spans="1:14">
      <c r="A26">
        <v>0.41805999999999999</v>
      </c>
      <c r="B26">
        <v>18.469000000000001</v>
      </c>
      <c r="C26">
        <f t="shared" si="0"/>
        <v>3.0781666666666668E-4</v>
      </c>
      <c r="D26">
        <f t="shared" si="1"/>
        <v>1.4180600000000001</v>
      </c>
      <c r="E26">
        <f t="shared" si="2"/>
        <v>0.4180600000000001</v>
      </c>
      <c r="F26">
        <f t="shared" si="3"/>
        <v>41806.000000000007</v>
      </c>
      <c r="G26" s="4">
        <f t="shared" si="4"/>
        <v>6.5372180043031342E-14</v>
      </c>
      <c r="H26" s="4">
        <f t="shared" si="5"/>
        <v>6.623835919471284E-2</v>
      </c>
      <c r="I26" s="4">
        <f t="shared" si="6"/>
        <v>4.6212386162222252</v>
      </c>
      <c r="J26">
        <f t="shared" si="7"/>
        <v>-1.1788904340961823</v>
      </c>
      <c r="K26">
        <f t="shared" si="8"/>
        <v>-0.37876138377777457</v>
      </c>
      <c r="L26">
        <f t="shared" si="8"/>
        <v>1.2664433812962739</v>
      </c>
      <c r="M26">
        <f t="shared" si="9"/>
        <v>4.6212386162222252</v>
      </c>
      <c r="N26">
        <f t="shared" si="10"/>
        <v>1.2664433812962739</v>
      </c>
    </row>
    <row r="27" spans="1:14">
      <c r="A27">
        <v>0.43736999999999998</v>
      </c>
      <c r="B27">
        <v>19.501999999999999</v>
      </c>
      <c r="C27">
        <f t="shared" si="0"/>
        <v>3.2503333333333334E-4</v>
      </c>
      <c r="D27">
        <f t="shared" si="1"/>
        <v>1.43737</v>
      </c>
      <c r="E27">
        <f t="shared" si="2"/>
        <v>0.43737000000000004</v>
      </c>
      <c r="F27">
        <f t="shared" si="3"/>
        <v>43737.000000000007</v>
      </c>
      <c r="G27" s="4">
        <f t="shared" si="4"/>
        <v>6.5980919647869984E-14</v>
      </c>
      <c r="H27" s="4">
        <f t="shared" si="5"/>
        <v>6.6855164578513829E-2</v>
      </c>
      <c r="I27" s="4">
        <f t="shared" si="6"/>
        <v>4.6408489906785668</v>
      </c>
      <c r="J27">
        <f t="shared" si="7"/>
        <v>-1.1748650377465961</v>
      </c>
      <c r="K27">
        <f t="shared" si="8"/>
        <v>-0.35915100932143285</v>
      </c>
      <c r="L27">
        <f t="shared" si="8"/>
        <v>1.2900791521022015</v>
      </c>
      <c r="M27">
        <f t="shared" si="9"/>
        <v>4.6408489906785668</v>
      </c>
      <c r="N27">
        <f t="shared" si="10"/>
        <v>1.2900791521022015</v>
      </c>
    </row>
    <row r="28" spans="1:14">
      <c r="A28" s="1">
        <v>0.45768999999999999</v>
      </c>
      <c r="B28" s="1">
        <v>20.629000000000001</v>
      </c>
      <c r="C28" s="1">
        <f t="shared" si="0"/>
        <v>3.4381666666666668E-4</v>
      </c>
      <c r="D28" s="1">
        <f t="shared" si="1"/>
        <v>1.4576899999999999</v>
      </c>
      <c r="E28" s="1">
        <f t="shared" si="2"/>
        <v>0.45768999999999993</v>
      </c>
      <c r="F28" s="1">
        <f t="shared" si="3"/>
        <v>45768.999999999993</v>
      </c>
      <c r="G28" s="1">
        <f>(0.00001781*0.000134*C28)/(0.0002688*F28)</f>
        <v>6.6695257745113782E-14</v>
      </c>
      <c r="H28" s="1">
        <f>G28/(0.0000000000009869233)</f>
        <v>6.7578967631135856E-2</v>
      </c>
      <c r="I28" s="1">
        <f>LOG(F28)</f>
        <v>4.6605714236961155</v>
      </c>
      <c r="J28" s="1">
        <f>LOG(H28)</f>
        <v>-1.1701884470021642</v>
      </c>
      <c r="K28" s="1">
        <f t="shared" si="8"/>
        <v>-0.33942857630388434</v>
      </c>
      <c r="L28" s="1">
        <f t="shared" si="8"/>
        <v>1.3144781758641819</v>
      </c>
      <c r="M28">
        <f t="shared" si="9"/>
        <v>4.6605714236961155</v>
      </c>
      <c r="N28">
        <f t="shared" si="10"/>
        <v>1.3144781758641819</v>
      </c>
    </row>
    <row r="29" spans="1:14">
      <c r="A29">
        <v>0.47754999999999997</v>
      </c>
      <c r="B29">
        <v>21.670999999999999</v>
      </c>
      <c r="C29">
        <f t="shared" si="0"/>
        <v>3.6118333333333332E-4</v>
      </c>
      <c r="D29">
        <f t="shared" si="1"/>
        <v>1.4775499999999999</v>
      </c>
      <c r="E29">
        <f t="shared" si="2"/>
        <v>0.47754999999999992</v>
      </c>
      <c r="F29">
        <f t="shared" si="3"/>
        <v>47754.999999999993</v>
      </c>
      <c r="G29" s="4">
        <f t="shared" ref="G29:G80" si="11">(0.00001781*0.000134*C29)/(0.0002688*F29)</f>
        <v>6.7150353890683792E-14</v>
      </c>
      <c r="H29" s="4">
        <f t="shared" ref="H29:H80" si="12">G29/(0.0000000000009869233)</f>
        <v>6.8040093785083189E-2</v>
      </c>
      <c r="I29" s="4">
        <f t="shared" ref="I29:I80" si="13">LOG(F29)</f>
        <v>4.6790188494009755</v>
      </c>
      <c r="J29">
        <f t="shared" ref="J29:J80" si="14">LOG(H29)</f>
        <v>-1.1672350964363638</v>
      </c>
      <c r="K29">
        <f t="shared" si="8"/>
        <v>-0.32098115059902449</v>
      </c>
      <c r="L29">
        <f t="shared" si="8"/>
        <v>1.335878952134842</v>
      </c>
      <c r="M29">
        <f t="shared" si="9"/>
        <v>4.6790188494009755</v>
      </c>
      <c r="N29">
        <f t="shared" si="10"/>
        <v>1.335878952134842</v>
      </c>
    </row>
    <row r="30" spans="1:14">
      <c r="A30">
        <v>0.49669000000000002</v>
      </c>
      <c r="B30">
        <v>22.69</v>
      </c>
      <c r="C30">
        <f t="shared" si="0"/>
        <v>3.7816666666666668E-4</v>
      </c>
      <c r="D30">
        <f t="shared" si="1"/>
        <v>1.4966900000000001</v>
      </c>
      <c r="E30">
        <f t="shared" si="2"/>
        <v>0.49669000000000008</v>
      </c>
      <c r="F30">
        <f t="shared" si="3"/>
        <v>49669.000000000007</v>
      </c>
      <c r="G30" s="4">
        <f t="shared" si="11"/>
        <v>6.7598534790391771E-14</v>
      </c>
      <c r="H30" s="4">
        <f t="shared" si="12"/>
        <v>6.8494213066397122E-2</v>
      </c>
      <c r="I30" s="4">
        <f t="shared" si="13"/>
        <v>4.6960854163098249</v>
      </c>
      <c r="J30">
        <f t="shared" si="14"/>
        <v>-1.164346119595119</v>
      </c>
      <c r="K30">
        <f t="shared" si="8"/>
        <v>-0.30391458369017549</v>
      </c>
      <c r="L30">
        <f t="shared" si="8"/>
        <v>1.355834495884936</v>
      </c>
      <c r="M30">
        <f t="shared" si="9"/>
        <v>4.6960854163098249</v>
      </c>
      <c r="N30">
        <f t="shared" si="10"/>
        <v>1.355834495884936</v>
      </c>
    </row>
    <row r="31" spans="1:14">
      <c r="A31">
        <v>0.51880000000000004</v>
      </c>
      <c r="B31">
        <v>23.702999999999999</v>
      </c>
      <c r="C31">
        <f t="shared" si="0"/>
        <v>3.9504999999999998E-4</v>
      </c>
      <c r="D31">
        <f t="shared" si="1"/>
        <v>1.5188000000000001</v>
      </c>
      <c r="E31">
        <f t="shared" si="2"/>
        <v>0.51880000000000015</v>
      </c>
      <c r="F31">
        <f t="shared" si="3"/>
        <v>51880.000000000015</v>
      </c>
      <c r="G31" s="4">
        <f t="shared" si="11"/>
        <v>6.7606982445180262E-14</v>
      </c>
      <c r="H31" s="4">
        <f t="shared" si="12"/>
        <v>6.8502772652322894E-2</v>
      </c>
      <c r="I31" s="4">
        <f t="shared" si="13"/>
        <v>4.7149999674120426</v>
      </c>
      <c r="J31">
        <f t="shared" si="14"/>
        <v>-1.1642918500661907</v>
      </c>
      <c r="K31">
        <f t="shared" si="8"/>
        <v>-0.28500003258795747</v>
      </c>
      <c r="L31">
        <f t="shared" si="8"/>
        <v>1.3748033165160825</v>
      </c>
      <c r="M31">
        <f t="shared" si="9"/>
        <v>4.7149999674120426</v>
      </c>
      <c r="N31">
        <f t="shared" si="10"/>
        <v>1.3748033165160825</v>
      </c>
    </row>
    <row r="32" spans="1:14">
      <c r="A32">
        <v>0.53739999999999999</v>
      </c>
      <c r="B32">
        <v>24.84</v>
      </c>
      <c r="C32">
        <f t="shared" si="0"/>
        <v>4.1399999999999998E-4</v>
      </c>
      <c r="D32">
        <f t="shared" si="1"/>
        <v>1.5373999999999999</v>
      </c>
      <c r="E32">
        <f t="shared" si="2"/>
        <v>0.53739999999999988</v>
      </c>
      <c r="F32">
        <f t="shared" si="3"/>
        <v>53739.999999999985</v>
      </c>
      <c r="G32" s="4">
        <f t="shared" si="11"/>
        <v>6.8397799922909277E-14</v>
      </c>
      <c r="H32" s="4">
        <f t="shared" si="12"/>
        <v>6.930406843460811E-2</v>
      </c>
      <c r="I32" s="4">
        <f t="shared" si="13"/>
        <v>4.7302976620971497</v>
      </c>
      <c r="J32">
        <f t="shared" si="14"/>
        <v>-1.1592412697628376</v>
      </c>
      <c r="K32">
        <f t="shared" si="8"/>
        <v>-0.26970233790285036</v>
      </c>
      <c r="L32">
        <f t="shared" si="8"/>
        <v>1.3951515915045425</v>
      </c>
      <c r="M32">
        <f t="shared" si="9"/>
        <v>4.7302976620971497</v>
      </c>
      <c r="N32">
        <f t="shared" si="10"/>
        <v>1.3951515915045425</v>
      </c>
    </row>
    <row r="33" spans="1:14">
      <c r="A33">
        <v>0.55647999999999997</v>
      </c>
      <c r="B33">
        <v>25.91</v>
      </c>
      <c r="C33">
        <f t="shared" si="0"/>
        <v>4.3183333333333333E-4</v>
      </c>
      <c r="D33">
        <f t="shared" si="1"/>
        <v>1.5564800000000001</v>
      </c>
      <c r="E33">
        <f t="shared" si="2"/>
        <v>0.55648000000000009</v>
      </c>
      <c r="F33">
        <f t="shared" si="3"/>
        <v>55648.000000000007</v>
      </c>
      <c r="G33" s="4">
        <f t="shared" si="11"/>
        <v>6.8897911241765135E-14</v>
      </c>
      <c r="H33" s="4">
        <f t="shared" si="12"/>
        <v>6.981080621134908E-2</v>
      </c>
      <c r="I33" s="4">
        <f t="shared" si="13"/>
        <v>4.7454495603226183</v>
      </c>
      <c r="J33">
        <f t="shared" si="14"/>
        <v>-1.1560773465070242</v>
      </c>
      <c r="K33">
        <f t="shared" si="8"/>
        <v>-0.25455043967738156</v>
      </c>
      <c r="L33">
        <f t="shared" si="8"/>
        <v>1.4134674129858249</v>
      </c>
      <c r="M33">
        <f t="shared" si="9"/>
        <v>4.7454495603226183</v>
      </c>
      <c r="N33">
        <f t="shared" si="10"/>
        <v>1.4134674129858249</v>
      </c>
    </row>
    <row r="34" spans="1:14">
      <c r="A34">
        <v>0.57713999999999999</v>
      </c>
      <c r="B34">
        <v>26.943000000000001</v>
      </c>
      <c r="C34">
        <f t="shared" si="0"/>
        <v>4.4905000000000005E-4</v>
      </c>
      <c r="D34">
        <f t="shared" si="1"/>
        <v>1.57714</v>
      </c>
      <c r="E34">
        <f t="shared" si="2"/>
        <v>0.57713999999999999</v>
      </c>
      <c r="F34">
        <f t="shared" si="3"/>
        <v>57714</v>
      </c>
      <c r="G34" s="4">
        <f t="shared" si="11"/>
        <v>6.9080103415837898E-14</v>
      </c>
      <c r="H34" s="4">
        <f t="shared" si="12"/>
        <v>6.999541242550246E-2</v>
      </c>
      <c r="I34" s="4">
        <f t="shared" si="13"/>
        <v>4.7612811751183441</v>
      </c>
      <c r="J34">
        <f t="shared" si="14"/>
        <v>-1.1549304231797264</v>
      </c>
      <c r="K34">
        <f t="shared" si="8"/>
        <v>-0.2387188248816563</v>
      </c>
      <c r="L34">
        <f t="shared" si="8"/>
        <v>1.4304459511088479</v>
      </c>
      <c r="M34">
        <f t="shared" si="9"/>
        <v>4.7612811751183441</v>
      </c>
      <c r="N34">
        <f t="shared" si="10"/>
        <v>1.4304459511088479</v>
      </c>
    </row>
    <row r="35" spans="1:14">
      <c r="A35">
        <v>0.59675999999999996</v>
      </c>
      <c r="B35">
        <v>27.975999999999999</v>
      </c>
      <c r="C35">
        <f t="shared" si="0"/>
        <v>4.6626666666666665E-4</v>
      </c>
      <c r="D35">
        <f t="shared" si="1"/>
        <v>1.59676</v>
      </c>
      <c r="E35">
        <f t="shared" si="2"/>
        <v>0.59675999999999996</v>
      </c>
      <c r="F35">
        <f t="shared" si="3"/>
        <v>59675.999999999993</v>
      </c>
      <c r="G35" s="4">
        <f t="shared" si="11"/>
        <v>6.9370386961284068E-14</v>
      </c>
      <c r="H35" s="4">
        <f t="shared" si="12"/>
        <v>7.0289542218006262E-2</v>
      </c>
      <c r="I35" s="4">
        <f t="shared" si="13"/>
        <v>4.7757997052798498</v>
      </c>
      <c r="J35">
        <f t="shared" si="14"/>
        <v>-1.153109285148892</v>
      </c>
      <c r="K35">
        <f t="shared" si="8"/>
        <v>-0.22420029472015027</v>
      </c>
      <c r="L35">
        <f t="shared" si="8"/>
        <v>1.4467856193011883</v>
      </c>
      <c r="M35">
        <f t="shared" si="9"/>
        <v>4.7757997052798498</v>
      </c>
      <c r="N35">
        <f t="shared" si="10"/>
        <v>1.4467856193011883</v>
      </c>
    </row>
    <row r="36" spans="1:14">
      <c r="A36">
        <v>0.61765999999999999</v>
      </c>
      <c r="B36">
        <v>29.085999999999999</v>
      </c>
      <c r="C36">
        <f t="shared" si="0"/>
        <v>4.8476666666666667E-4</v>
      </c>
      <c r="D36">
        <f t="shared" si="1"/>
        <v>1.6176599999999999</v>
      </c>
      <c r="E36">
        <f t="shared" si="2"/>
        <v>0.61765999999999988</v>
      </c>
      <c r="F36">
        <f t="shared" si="3"/>
        <v>61765.999999999985</v>
      </c>
      <c r="G36" s="4">
        <f t="shared" si="11"/>
        <v>6.968233991584473E-14</v>
      </c>
      <c r="H36" s="4">
        <f t="shared" si="12"/>
        <v>7.0605628538554843E-2</v>
      </c>
      <c r="I36" s="4">
        <f t="shared" si="13"/>
        <v>4.7907494770997676</v>
      </c>
      <c r="J36">
        <f t="shared" si="14"/>
        <v>-1.151160676486441</v>
      </c>
      <c r="K36">
        <f t="shared" si="8"/>
        <v>-0.2092505229002323</v>
      </c>
      <c r="L36">
        <f t="shared" si="8"/>
        <v>1.4636839997835571</v>
      </c>
      <c r="M36">
        <f t="shared" si="9"/>
        <v>4.7907494770997676</v>
      </c>
      <c r="N36">
        <f t="shared" si="10"/>
        <v>1.4636839997835571</v>
      </c>
    </row>
    <row r="37" spans="1:14">
      <c r="A37">
        <v>0.63671999999999995</v>
      </c>
      <c r="B37">
        <v>30.204000000000001</v>
      </c>
      <c r="C37">
        <f t="shared" si="0"/>
        <v>5.0339999999999998E-4</v>
      </c>
      <c r="D37">
        <f t="shared" si="1"/>
        <v>1.63672</v>
      </c>
      <c r="E37">
        <f t="shared" si="2"/>
        <v>0.63671999999999995</v>
      </c>
      <c r="F37">
        <f t="shared" si="3"/>
        <v>63671.999999999993</v>
      </c>
      <c r="G37" s="4">
        <f t="shared" si="11"/>
        <v>7.0194675866718737E-14</v>
      </c>
      <c r="H37" s="4">
        <f t="shared" si="12"/>
        <v>7.112475292327046E-2</v>
      </c>
      <c r="I37" s="4">
        <f t="shared" si="13"/>
        <v>4.8039484916939355</v>
      </c>
      <c r="J37">
        <f t="shared" si="14"/>
        <v>-1.1479792292681783</v>
      </c>
      <c r="K37">
        <f t="shared" si="8"/>
        <v>-0.19605150830606483</v>
      </c>
      <c r="L37">
        <f t="shared" si="8"/>
        <v>1.4800644615959875</v>
      </c>
      <c r="M37">
        <f t="shared" si="9"/>
        <v>4.8039484916939355</v>
      </c>
      <c r="N37">
        <f t="shared" si="10"/>
        <v>1.4800644615959875</v>
      </c>
    </row>
    <row r="38" spans="1:14">
      <c r="A38">
        <v>0.65608999999999995</v>
      </c>
      <c r="B38">
        <v>31.303000000000001</v>
      </c>
      <c r="C38">
        <f t="shared" si="0"/>
        <v>5.2171666666666673E-4</v>
      </c>
      <c r="D38">
        <f t="shared" si="1"/>
        <v>1.6560899999999998</v>
      </c>
      <c r="E38">
        <f t="shared" si="2"/>
        <v>0.65608999999999984</v>
      </c>
      <c r="F38">
        <f t="shared" si="3"/>
        <v>65608.999999999985</v>
      </c>
      <c r="G38" s="4">
        <f t="shared" si="11"/>
        <v>7.0600982674203655E-14</v>
      </c>
      <c r="H38" s="4">
        <f t="shared" si="12"/>
        <v>7.1536443282070303E-2</v>
      </c>
      <c r="I38" s="4">
        <f t="shared" si="13"/>
        <v>4.8169634183731871</v>
      </c>
      <c r="J38">
        <f t="shared" si="14"/>
        <v>-1.1454726563224902</v>
      </c>
      <c r="K38">
        <f t="shared" si="8"/>
        <v>-0.18303658162681277</v>
      </c>
      <c r="L38">
        <f t="shared" si="8"/>
        <v>1.4955859612209277</v>
      </c>
      <c r="M38">
        <f t="shared" si="9"/>
        <v>4.8169634183731871</v>
      </c>
      <c r="N38">
        <f t="shared" si="10"/>
        <v>1.4955859612209277</v>
      </c>
    </row>
    <row r="39" spans="1:14">
      <c r="A39">
        <v>0.67671999999999999</v>
      </c>
      <c r="B39">
        <v>32.445</v>
      </c>
      <c r="C39">
        <f t="shared" si="0"/>
        <v>5.4075E-4</v>
      </c>
      <c r="D39">
        <f t="shared" si="1"/>
        <v>1.67672</v>
      </c>
      <c r="E39">
        <f t="shared" si="2"/>
        <v>0.67671999999999999</v>
      </c>
      <c r="F39">
        <f t="shared" si="3"/>
        <v>67672</v>
      </c>
      <c r="G39" s="4">
        <f t="shared" si="11"/>
        <v>7.0945845632240815E-14</v>
      </c>
      <c r="H39" s="4">
        <f t="shared" si="12"/>
        <v>7.1885875662516849E-2</v>
      </c>
      <c r="I39" s="4">
        <f t="shared" si="13"/>
        <v>4.8304090119516001</v>
      </c>
      <c r="J39">
        <f t="shared" si="14"/>
        <v>-1.1433564326270576</v>
      </c>
      <c r="K39">
        <f t="shared" si="8"/>
        <v>-0.16959098804840034</v>
      </c>
      <c r="L39">
        <f t="shared" si="8"/>
        <v>1.5111477784947727</v>
      </c>
      <c r="M39">
        <f t="shared" si="9"/>
        <v>4.8304090119516001</v>
      </c>
      <c r="N39">
        <f t="shared" si="10"/>
        <v>1.5111477784947727</v>
      </c>
    </row>
    <row r="40" spans="1:14">
      <c r="A40">
        <v>0.69806000000000001</v>
      </c>
      <c r="B40">
        <v>33.527999999999999</v>
      </c>
      <c r="C40">
        <f t="shared" si="0"/>
        <v>5.5880000000000003E-4</v>
      </c>
      <c r="D40">
        <f t="shared" si="1"/>
        <v>1.6980599999999999</v>
      </c>
      <c r="E40">
        <f t="shared" si="2"/>
        <v>0.6980599999999999</v>
      </c>
      <c r="F40">
        <f t="shared" si="3"/>
        <v>69805.999999999985</v>
      </c>
      <c r="G40" s="4">
        <f t="shared" si="11"/>
        <v>7.1072746424444368E-14</v>
      </c>
      <c r="H40" s="4">
        <f t="shared" si="12"/>
        <v>7.2014457885880651E-2</v>
      </c>
      <c r="I40" s="4">
        <f t="shared" si="13"/>
        <v>4.8438927529226188</v>
      </c>
      <c r="J40">
        <f t="shared" si="14"/>
        <v>-1.142580304267061</v>
      </c>
      <c r="K40">
        <f t="shared" si="8"/>
        <v>-0.15610724707738152</v>
      </c>
      <c r="L40">
        <f t="shared" si="8"/>
        <v>1.5254076478257879</v>
      </c>
      <c r="M40">
        <f t="shared" si="9"/>
        <v>4.8438927529226188</v>
      </c>
      <c r="N40">
        <f t="shared" si="10"/>
        <v>1.5254076478257879</v>
      </c>
    </row>
    <row r="41" spans="1:14">
      <c r="A41">
        <v>0.71706000000000003</v>
      </c>
      <c r="B41">
        <v>34.652000000000001</v>
      </c>
      <c r="C41" s="4">
        <f t="shared" si="0"/>
        <v>5.7753333333333335E-4</v>
      </c>
      <c r="D41" s="4">
        <f t="shared" si="1"/>
        <v>1.71706</v>
      </c>
      <c r="E41" s="4">
        <f t="shared" si="2"/>
        <v>0.71706000000000003</v>
      </c>
      <c r="F41" s="4">
        <f t="shared" si="3"/>
        <v>71706</v>
      </c>
      <c r="G41" s="4">
        <f t="shared" si="11"/>
        <v>7.1509050583644254E-14</v>
      </c>
      <c r="H41" s="4">
        <f t="shared" si="12"/>
        <v>7.2456543060280612E-2</v>
      </c>
      <c r="I41" s="4">
        <f t="shared" si="13"/>
        <v>4.8555554967817418</v>
      </c>
      <c r="J41" s="4">
        <f t="shared" si="14"/>
        <v>-1.1399223902250046</v>
      </c>
      <c r="K41">
        <f t="shared" si="8"/>
        <v>-0.14444450321825847</v>
      </c>
      <c r="L41">
        <f t="shared" si="8"/>
        <v>1.5397283057269675</v>
      </c>
      <c r="M41">
        <f t="shared" si="9"/>
        <v>4.8555554967817418</v>
      </c>
      <c r="N41">
        <f t="shared" si="10"/>
        <v>1.5397283057269675</v>
      </c>
    </row>
    <row r="42" spans="1:14">
      <c r="A42">
        <v>0.73579000000000006</v>
      </c>
      <c r="B42">
        <v>35.811</v>
      </c>
      <c r="C42">
        <f t="shared" si="0"/>
        <v>5.9685000000000001E-4</v>
      </c>
      <c r="D42">
        <f t="shared" si="1"/>
        <v>1.7357900000000002</v>
      </c>
      <c r="E42">
        <f t="shared" si="2"/>
        <v>0.73579000000000017</v>
      </c>
      <c r="F42">
        <f t="shared" si="3"/>
        <v>73579.000000000015</v>
      </c>
      <c r="G42" s="4">
        <f t="shared" si="11"/>
        <v>7.2019610876210804E-14</v>
      </c>
      <c r="H42" s="4">
        <f t="shared" si="12"/>
        <v>7.2973868259276889E-2</v>
      </c>
      <c r="I42" s="4">
        <f t="shared" si="13"/>
        <v>4.8667538811108582</v>
      </c>
      <c r="J42">
        <f t="shared" si="14"/>
        <v>-1.1368326316953759</v>
      </c>
      <c r="K42">
        <f t="shared" si="8"/>
        <v>-0.13324611888914159</v>
      </c>
      <c r="L42">
        <f t="shared" si="8"/>
        <v>1.5540164485857131</v>
      </c>
      <c r="M42">
        <f t="shared" si="9"/>
        <v>4.8667538811108582</v>
      </c>
      <c r="N42">
        <f t="shared" si="10"/>
        <v>1.5540164485857131</v>
      </c>
    </row>
    <row r="43" spans="1:14">
      <c r="A43">
        <v>0.75521000000000005</v>
      </c>
      <c r="B43">
        <v>37.084000000000003</v>
      </c>
      <c r="C43">
        <f t="shared" si="0"/>
        <v>6.1806666666666676E-4</v>
      </c>
      <c r="D43">
        <f t="shared" si="1"/>
        <v>1.7552099999999999</v>
      </c>
      <c r="E43">
        <f t="shared" si="2"/>
        <v>0.75520999999999994</v>
      </c>
      <c r="F43">
        <f t="shared" si="3"/>
        <v>75521</v>
      </c>
      <c r="G43" s="4">
        <f t="shared" si="11"/>
        <v>7.2661949133563844E-14</v>
      </c>
      <c r="H43" s="4">
        <f t="shared" si="12"/>
        <v>7.3624717476589968E-2</v>
      </c>
      <c r="I43" s="1">
        <f t="shared" si="13"/>
        <v>4.8780677319733625</v>
      </c>
      <c r="J43" s="1">
        <f t="shared" si="14"/>
        <v>-1.1329763587392174</v>
      </c>
      <c r="K43">
        <f t="shared" si="8"/>
        <v>-0.12193226802663773</v>
      </c>
      <c r="L43">
        <f t="shared" si="8"/>
        <v>1.5691865724043752</v>
      </c>
      <c r="M43">
        <f t="shared" si="9"/>
        <v>4.8780677319733625</v>
      </c>
      <c r="N43">
        <f t="shared" si="10"/>
        <v>1.5691865724043752</v>
      </c>
    </row>
    <row r="44" spans="1:14">
      <c r="A44">
        <v>0.77646999999999999</v>
      </c>
      <c r="B44">
        <v>38.292999999999999</v>
      </c>
      <c r="C44">
        <f t="shared" si="0"/>
        <v>6.3821666666666668E-4</v>
      </c>
      <c r="D44">
        <f t="shared" si="1"/>
        <v>1.77647</v>
      </c>
      <c r="E44">
        <f t="shared" si="2"/>
        <v>0.77646999999999999</v>
      </c>
      <c r="F44">
        <f t="shared" si="3"/>
        <v>77647</v>
      </c>
      <c r="G44" s="4">
        <f t="shared" si="11"/>
        <v>7.2976480424815341E-14</v>
      </c>
      <c r="H44" s="4">
        <f t="shared" si="12"/>
        <v>7.3943416296702424E-2</v>
      </c>
      <c r="I44" s="4">
        <f t="shared" si="13"/>
        <v>4.8901246808164798</v>
      </c>
      <c r="J44">
        <f t="shared" si="14"/>
        <v>-1.1311004882431421</v>
      </c>
      <c r="K44">
        <f t="shared" si="8"/>
        <v>-0.10987531918351982</v>
      </c>
      <c r="L44">
        <f t="shared" si="8"/>
        <v>1.5831193917435686</v>
      </c>
      <c r="M44">
        <f t="shared" si="9"/>
        <v>4.8901246808164798</v>
      </c>
      <c r="N44">
        <f t="shared" si="10"/>
        <v>1.5831193917435686</v>
      </c>
    </row>
    <row r="45" spans="1:14">
      <c r="A45">
        <v>0.79542000000000002</v>
      </c>
      <c r="B45">
        <v>39.512999999999998</v>
      </c>
      <c r="C45">
        <f t="shared" si="0"/>
        <v>6.5854999999999993E-4</v>
      </c>
      <c r="D45">
        <f t="shared" si="1"/>
        <v>1.79542</v>
      </c>
      <c r="E45">
        <f t="shared" si="2"/>
        <v>0.79542000000000002</v>
      </c>
      <c r="F45">
        <f t="shared" si="3"/>
        <v>79542</v>
      </c>
      <c r="G45" s="4">
        <f t="shared" si="11"/>
        <v>7.3507508172157635E-14</v>
      </c>
      <c r="H45" s="4">
        <f t="shared" si="12"/>
        <v>7.4481480143550799E-2</v>
      </c>
      <c r="I45" s="4">
        <f t="shared" si="13"/>
        <v>4.9005965066655994</v>
      </c>
      <c r="J45">
        <f t="shared" si="14"/>
        <v>-1.1279517013635929</v>
      </c>
      <c r="K45">
        <f t="shared" si="8"/>
        <v>-9.9403493334400572E-2</v>
      </c>
      <c r="L45">
        <f t="shared" si="8"/>
        <v>1.5967400044722371</v>
      </c>
      <c r="M45">
        <f t="shared" si="9"/>
        <v>4.9005965066655994</v>
      </c>
      <c r="N45">
        <f t="shared" si="10"/>
        <v>1.5967400044722371</v>
      </c>
    </row>
    <row r="46" spans="1:14">
      <c r="A46">
        <v>0.81530000000000002</v>
      </c>
      <c r="B46">
        <v>40.640999999999998</v>
      </c>
      <c r="C46">
        <f t="shared" si="0"/>
        <v>6.7734999999999996E-4</v>
      </c>
      <c r="D46">
        <f t="shared" si="1"/>
        <v>1.8153000000000001</v>
      </c>
      <c r="E46">
        <f t="shared" si="2"/>
        <v>0.81530000000000014</v>
      </c>
      <c r="F46">
        <f t="shared" si="3"/>
        <v>81530.000000000015</v>
      </c>
      <c r="G46" s="4">
        <f t="shared" si="11"/>
        <v>7.3762418239634258E-14</v>
      </c>
      <c r="H46" s="4">
        <f t="shared" si="12"/>
        <v>7.4739767760710743E-2</v>
      </c>
      <c r="I46" s="4">
        <f t="shared" si="13"/>
        <v>4.9113174423240302</v>
      </c>
      <c r="J46">
        <f t="shared" si="14"/>
        <v>-1.1264482559699043</v>
      </c>
      <c r="K46">
        <f t="shared" si="8"/>
        <v>-8.8682557675969442E-2</v>
      </c>
      <c r="L46">
        <f t="shared" si="8"/>
        <v>1.6089643855243569</v>
      </c>
      <c r="M46">
        <f t="shared" si="9"/>
        <v>4.9113174423240302</v>
      </c>
      <c r="N46">
        <f t="shared" si="10"/>
        <v>1.6089643855243569</v>
      </c>
    </row>
    <row r="47" spans="1:14">
      <c r="A47">
        <v>0.83543000000000001</v>
      </c>
      <c r="B47">
        <v>41.893000000000001</v>
      </c>
      <c r="C47">
        <f t="shared" si="0"/>
        <v>6.9821666666666663E-4</v>
      </c>
      <c r="D47">
        <f t="shared" si="1"/>
        <v>1.8354300000000001</v>
      </c>
      <c r="E47">
        <f t="shared" si="2"/>
        <v>0.83543000000000012</v>
      </c>
      <c r="F47">
        <f t="shared" si="3"/>
        <v>83543.000000000015</v>
      </c>
      <c r="G47" s="4">
        <f t="shared" si="11"/>
        <v>7.4202681217746618E-14</v>
      </c>
      <c r="H47" s="4">
        <f t="shared" si="12"/>
        <v>7.5185864208238487E-2</v>
      </c>
      <c r="I47" s="4">
        <f t="shared" si="13"/>
        <v>4.9219100665725355</v>
      </c>
      <c r="J47">
        <f t="shared" si="14"/>
        <v>-1.1238638040018807</v>
      </c>
      <c r="K47">
        <f t="shared" si="8"/>
        <v>-7.8089933427464786E-2</v>
      </c>
      <c r="L47">
        <f t="shared" si="8"/>
        <v>1.6221414617408851</v>
      </c>
      <c r="M47">
        <f t="shared" si="9"/>
        <v>4.9219100665725355</v>
      </c>
      <c r="N47">
        <f t="shared" si="10"/>
        <v>1.6221414617408851</v>
      </c>
    </row>
    <row r="48" spans="1:14">
      <c r="A48">
        <v>0.85567000000000004</v>
      </c>
      <c r="B48">
        <v>42.93</v>
      </c>
      <c r="C48">
        <f t="shared" si="0"/>
        <v>7.1549999999999999E-4</v>
      </c>
      <c r="D48">
        <f t="shared" si="1"/>
        <v>1.8556699999999999</v>
      </c>
      <c r="E48">
        <f t="shared" si="2"/>
        <v>0.85566999999999993</v>
      </c>
      <c r="F48">
        <f t="shared" si="3"/>
        <v>85567</v>
      </c>
      <c r="G48" s="4">
        <f t="shared" si="11"/>
        <v>7.4240824389492623E-14</v>
      </c>
      <c r="H48" s="4">
        <f t="shared" si="12"/>
        <v>7.5224512775706701E-2</v>
      </c>
      <c r="I48" s="4">
        <f t="shared" si="13"/>
        <v>4.9323063057851897</v>
      </c>
      <c r="J48">
        <f t="shared" si="14"/>
        <v>-1.1236406164759813</v>
      </c>
      <c r="K48">
        <f t="shared" si="8"/>
        <v>-6.7693694214810446E-2</v>
      </c>
      <c r="L48">
        <f t="shared" si="8"/>
        <v>1.6327608884794389</v>
      </c>
      <c r="M48">
        <f t="shared" si="9"/>
        <v>4.9323063057851897</v>
      </c>
      <c r="N48">
        <f t="shared" si="10"/>
        <v>1.6327608884794389</v>
      </c>
    </row>
    <row r="49" spans="1:14">
      <c r="A49">
        <v>0.87465999999999999</v>
      </c>
      <c r="B49">
        <v>44.161000000000001</v>
      </c>
      <c r="C49">
        <f t="shared" si="0"/>
        <v>7.3601666666666668E-4</v>
      </c>
      <c r="D49">
        <f t="shared" si="1"/>
        <v>1.87466</v>
      </c>
      <c r="E49">
        <f t="shared" si="2"/>
        <v>0.87465999999999999</v>
      </c>
      <c r="F49">
        <f t="shared" si="3"/>
        <v>87466</v>
      </c>
      <c r="G49" s="4">
        <f t="shared" si="11"/>
        <v>7.4711565459426615E-14</v>
      </c>
      <c r="H49" s="4">
        <f t="shared" si="12"/>
        <v>7.5701491148731218E-2</v>
      </c>
      <c r="I49" s="4">
        <f t="shared" si="13"/>
        <v>4.941839265799989</v>
      </c>
      <c r="J49">
        <f t="shared" si="14"/>
        <v>-1.120895565793355</v>
      </c>
      <c r="K49">
        <f t="shared" si="8"/>
        <v>-5.8160734200010791E-2</v>
      </c>
      <c r="L49">
        <f t="shared" si="8"/>
        <v>1.6450388991768647</v>
      </c>
      <c r="M49">
        <f t="shared" si="9"/>
        <v>4.941839265799989</v>
      </c>
      <c r="N49">
        <f t="shared" si="10"/>
        <v>1.6450388991768647</v>
      </c>
    </row>
    <row r="50" spans="1:14">
      <c r="A50">
        <v>0.89471000000000001</v>
      </c>
      <c r="B50">
        <v>45.384999999999998</v>
      </c>
      <c r="C50">
        <f t="shared" si="0"/>
        <v>7.5641666666666663E-4</v>
      </c>
      <c r="D50">
        <f t="shared" si="1"/>
        <v>1.8947099999999999</v>
      </c>
      <c r="E50">
        <f t="shared" si="2"/>
        <v>0.89470999999999989</v>
      </c>
      <c r="F50">
        <f t="shared" si="3"/>
        <v>89470.999999999985</v>
      </c>
      <c r="G50" s="4">
        <f t="shared" si="11"/>
        <v>7.5061674998154967E-14</v>
      </c>
      <c r="H50" s="4">
        <f t="shared" si="12"/>
        <v>7.6056239626883834E-2</v>
      </c>
      <c r="I50" s="4">
        <f t="shared" si="13"/>
        <v>4.9516822913955512</v>
      </c>
      <c r="J50">
        <f t="shared" si="14"/>
        <v>-1.1188651507843586</v>
      </c>
      <c r="K50">
        <f t="shared" si="8"/>
        <v>-4.8317708604448555E-2</v>
      </c>
      <c r="L50">
        <f t="shared" si="8"/>
        <v>1.6569123397814234</v>
      </c>
      <c r="M50">
        <f t="shared" si="9"/>
        <v>4.9516822913955512</v>
      </c>
      <c r="N50">
        <f t="shared" si="10"/>
        <v>1.6569123397814234</v>
      </c>
    </row>
    <row r="51" spans="1:14">
      <c r="A51">
        <v>0.91571999999999998</v>
      </c>
      <c r="B51">
        <v>46.609000000000002</v>
      </c>
      <c r="C51">
        <f t="shared" si="0"/>
        <v>7.7681666666666669E-4</v>
      </c>
      <c r="D51">
        <f t="shared" si="1"/>
        <v>1.9157199999999999</v>
      </c>
      <c r="E51">
        <f t="shared" si="2"/>
        <v>0.91571999999999987</v>
      </c>
      <c r="F51">
        <f t="shared" si="3"/>
        <v>91571.999999999985</v>
      </c>
      <c r="G51" s="4">
        <f t="shared" si="11"/>
        <v>7.5317394651701802E-14</v>
      </c>
      <c r="H51" s="4">
        <f t="shared" si="12"/>
        <v>7.6315347557101745E-2</v>
      </c>
      <c r="I51" s="4">
        <f t="shared" si="13"/>
        <v>4.9617626996020761</v>
      </c>
      <c r="J51">
        <f t="shared" si="14"/>
        <v>-1.1173881135642605</v>
      </c>
      <c r="K51">
        <f t="shared" si="8"/>
        <v>-3.8237300397923939E-2</v>
      </c>
      <c r="L51">
        <f t="shared" si="8"/>
        <v>1.6684697852080461</v>
      </c>
      <c r="M51">
        <f t="shared" si="9"/>
        <v>4.9617626996020761</v>
      </c>
      <c r="N51">
        <f t="shared" si="10"/>
        <v>1.6684697852080461</v>
      </c>
    </row>
    <row r="52" spans="1:14">
      <c r="A52">
        <v>0.93459999999999999</v>
      </c>
      <c r="B52">
        <v>47.683999999999997</v>
      </c>
      <c r="C52">
        <f t="shared" si="0"/>
        <v>7.9473333333333332E-4</v>
      </c>
      <c r="D52">
        <f t="shared" si="1"/>
        <v>1.9346000000000001</v>
      </c>
      <c r="E52">
        <f t="shared" si="2"/>
        <v>0.9346000000000001</v>
      </c>
      <c r="F52">
        <f t="shared" si="3"/>
        <v>93460.000000000015</v>
      </c>
      <c r="G52" s="4">
        <f t="shared" si="11"/>
        <v>7.5497940666833109E-14</v>
      </c>
      <c r="H52" s="4">
        <f t="shared" si="12"/>
        <v>7.6498285800763954E-2</v>
      </c>
      <c r="I52" s="4">
        <f t="shared" si="13"/>
        <v>4.9706257766882942</v>
      </c>
      <c r="J52">
        <f t="shared" si="14"/>
        <v>-1.1163482965537048</v>
      </c>
      <c r="K52">
        <f t="shared" si="8"/>
        <v>-2.93742233117055E-2</v>
      </c>
      <c r="L52">
        <f t="shared" si="8"/>
        <v>1.6783726793048201</v>
      </c>
      <c r="M52">
        <f t="shared" si="9"/>
        <v>4.9706257766882942</v>
      </c>
      <c r="N52">
        <f t="shared" si="10"/>
        <v>1.6783726793048201</v>
      </c>
    </row>
    <row r="53" spans="1:14">
      <c r="A53">
        <v>0.95667000000000002</v>
      </c>
      <c r="B53">
        <v>48.962000000000003</v>
      </c>
      <c r="C53">
        <f t="shared" si="0"/>
        <v>8.1603333333333335E-4</v>
      </c>
      <c r="D53">
        <f t="shared" si="1"/>
        <v>1.9566699999999999</v>
      </c>
      <c r="E53">
        <f t="shared" si="2"/>
        <v>0.95666999999999991</v>
      </c>
      <c r="F53">
        <f t="shared" si="3"/>
        <v>95666.999999999985</v>
      </c>
      <c r="G53" s="4">
        <f t="shared" si="11"/>
        <v>7.5733006379727257E-14</v>
      </c>
      <c r="H53" s="4">
        <f t="shared" si="12"/>
        <v>7.6736466126321318E-2</v>
      </c>
      <c r="I53" s="4">
        <f t="shared" si="13"/>
        <v>4.9807621552328847</v>
      </c>
      <c r="J53">
        <f t="shared" si="14"/>
        <v>-1.114998204840294</v>
      </c>
      <c r="K53">
        <f t="shared" si="8"/>
        <v>-1.923784476711507E-2</v>
      </c>
      <c r="L53">
        <f t="shared" si="8"/>
        <v>1.6898591495628215</v>
      </c>
      <c r="M53">
        <f t="shared" si="9"/>
        <v>4.9807621552328847</v>
      </c>
      <c r="N53">
        <f t="shared" si="10"/>
        <v>1.6898591495628215</v>
      </c>
    </row>
    <row r="54" spans="1:14">
      <c r="A54">
        <v>0.97497</v>
      </c>
      <c r="B54">
        <v>50.329000000000001</v>
      </c>
      <c r="C54">
        <f t="shared" si="0"/>
        <v>8.3881666666666668E-4</v>
      </c>
      <c r="D54">
        <f t="shared" si="1"/>
        <v>1.9749699999999999</v>
      </c>
      <c r="E54">
        <f t="shared" si="2"/>
        <v>0.97496999999999989</v>
      </c>
      <c r="F54">
        <f t="shared" si="3"/>
        <v>97496.999999999985</v>
      </c>
      <c r="G54" s="4">
        <f t="shared" si="11"/>
        <v>7.6386260895430922E-14</v>
      </c>
      <c r="H54" s="4">
        <f t="shared" si="12"/>
        <v>7.7398376242035133E-2</v>
      </c>
      <c r="I54" s="4">
        <f t="shared" si="13"/>
        <v>4.988991252585814</v>
      </c>
      <c r="J54">
        <f t="shared" si="14"/>
        <v>-1.1112681503832726</v>
      </c>
      <c r="K54">
        <f t="shared" si="8"/>
        <v>-1.1008747414186072E-2</v>
      </c>
      <c r="L54">
        <f t="shared" si="8"/>
        <v>1.7018183013727717</v>
      </c>
      <c r="M54">
        <f t="shared" si="9"/>
        <v>4.988991252585814</v>
      </c>
      <c r="N54">
        <f t="shared" si="10"/>
        <v>1.7018183013727717</v>
      </c>
    </row>
    <row r="55" spans="1:14">
      <c r="A55">
        <v>0.99428000000000005</v>
      </c>
      <c r="B55">
        <v>51.691000000000003</v>
      </c>
      <c r="C55">
        <f t="shared" si="0"/>
        <v>8.6151666666666675E-4</v>
      </c>
      <c r="D55">
        <f t="shared" si="1"/>
        <v>1.9942800000000001</v>
      </c>
      <c r="E55">
        <f t="shared" si="2"/>
        <v>0.99428000000000005</v>
      </c>
      <c r="F55">
        <f t="shared" si="3"/>
        <v>99428</v>
      </c>
      <c r="G55" s="4">
        <f t="shared" si="11"/>
        <v>7.6929769893413353E-14</v>
      </c>
      <c r="H55" s="4">
        <f t="shared" si="12"/>
        <v>7.7949086715668123E-2</v>
      </c>
      <c r="I55" s="4">
        <f t="shared" si="13"/>
        <v>4.9975087036438346</v>
      </c>
      <c r="J55" s="4">
        <f t="shared" si="14"/>
        <v>-1.1081889688224045</v>
      </c>
      <c r="K55">
        <f t="shared" si="8"/>
        <v>-2.4912963561652761E-3</v>
      </c>
      <c r="L55">
        <f t="shared" si="8"/>
        <v>1.7134149339916609</v>
      </c>
      <c r="M55">
        <f t="shared" si="9"/>
        <v>4.9975087036438346</v>
      </c>
      <c r="N55">
        <f t="shared" si="10"/>
        <v>1.7134149339916609</v>
      </c>
    </row>
    <row r="56" spans="1:14">
      <c r="A56">
        <v>1.0135000000000001</v>
      </c>
      <c r="B56">
        <v>53.012</v>
      </c>
      <c r="C56">
        <f t="shared" si="0"/>
        <v>8.8353333333333331E-4</v>
      </c>
      <c r="D56">
        <f t="shared" si="1"/>
        <v>2.0135000000000001</v>
      </c>
      <c r="E56">
        <f t="shared" si="2"/>
        <v>1.0135000000000001</v>
      </c>
      <c r="F56">
        <f t="shared" si="3"/>
        <v>101350</v>
      </c>
      <c r="G56" s="4">
        <f t="shared" si="11"/>
        <v>7.7399586289457428E-14</v>
      </c>
      <c r="H56" s="4">
        <f t="shared" si="12"/>
        <v>7.8425128162905283E-2</v>
      </c>
      <c r="I56" s="4">
        <f t="shared" si="13"/>
        <v>5.0058237530290279</v>
      </c>
      <c r="J56">
        <f t="shared" si="14"/>
        <v>-1.1055447629024893</v>
      </c>
      <c r="K56">
        <f t="shared" si="8"/>
        <v>5.8237530290275435E-3</v>
      </c>
      <c r="L56">
        <f t="shared" si="8"/>
        <v>1.7243741892967688</v>
      </c>
      <c r="M56">
        <f t="shared" si="9"/>
        <v>5.0058237530290279</v>
      </c>
      <c r="N56">
        <f t="shared" si="10"/>
        <v>1.7243741892967688</v>
      </c>
    </row>
    <row r="57" spans="1:14">
      <c r="A57">
        <v>1.0345</v>
      </c>
      <c r="B57">
        <v>54.167999999999999</v>
      </c>
      <c r="C57">
        <f t="shared" si="0"/>
        <v>9.0279999999999994E-4</v>
      </c>
      <c r="D57">
        <f t="shared" si="1"/>
        <v>2.0345</v>
      </c>
      <c r="E57">
        <f t="shared" si="2"/>
        <v>1.0345</v>
      </c>
      <c r="F57">
        <f t="shared" si="3"/>
        <v>103450</v>
      </c>
      <c r="G57" s="4">
        <f t="shared" si="11"/>
        <v>7.7481944060852962E-14</v>
      </c>
      <c r="H57" s="4">
        <f t="shared" si="12"/>
        <v>7.8508577171957486E-2</v>
      </c>
      <c r="I57" s="4">
        <f t="shared" si="13"/>
        <v>5.0147304950017535</v>
      </c>
      <c r="J57">
        <f t="shared" si="14"/>
        <v>-1.105082893382616</v>
      </c>
      <c r="K57">
        <f t="shared" si="8"/>
        <v>1.4730495001753385E-2</v>
      </c>
      <c r="L57">
        <f t="shared" si="8"/>
        <v>1.733742800789368</v>
      </c>
      <c r="M57">
        <f t="shared" si="9"/>
        <v>5.0147304950017535</v>
      </c>
      <c r="N57">
        <f t="shared" si="10"/>
        <v>1.733742800789368</v>
      </c>
    </row>
    <row r="58" spans="1:14">
      <c r="A58">
        <v>1.0536000000000001</v>
      </c>
      <c r="B58">
        <v>55.597000000000001</v>
      </c>
      <c r="C58">
        <f t="shared" si="0"/>
        <v>9.2661666666666665E-4</v>
      </c>
      <c r="D58">
        <f t="shared" si="1"/>
        <v>2.0536000000000003</v>
      </c>
      <c r="E58">
        <f t="shared" si="2"/>
        <v>1.0536000000000003</v>
      </c>
      <c r="F58">
        <f t="shared" si="3"/>
        <v>105360.00000000003</v>
      </c>
      <c r="G58" s="4">
        <f t="shared" si="11"/>
        <v>7.8084313944687749E-14</v>
      </c>
      <c r="H58" s="4">
        <f t="shared" si="12"/>
        <v>7.9118928436168995E-2</v>
      </c>
      <c r="I58" s="4">
        <f t="shared" si="13"/>
        <v>5.0226757619537272</v>
      </c>
      <c r="J58">
        <f t="shared" si="14"/>
        <v>-1.1017196033296111</v>
      </c>
      <c r="K58">
        <f t="shared" si="8"/>
        <v>2.2675761953727433E-2</v>
      </c>
      <c r="L58">
        <f t="shared" si="8"/>
        <v>1.7450513577943469</v>
      </c>
      <c r="M58">
        <f t="shared" si="9"/>
        <v>5.0226757619537272</v>
      </c>
      <c r="N58">
        <f t="shared" si="10"/>
        <v>1.7450513577943469</v>
      </c>
    </row>
    <row r="59" spans="1:14">
      <c r="A59">
        <v>1.0731999999999999</v>
      </c>
      <c r="B59">
        <v>56.856000000000002</v>
      </c>
      <c r="C59">
        <f t="shared" si="0"/>
        <v>9.4760000000000005E-4</v>
      </c>
      <c r="D59">
        <f t="shared" si="1"/>
        <v>2.0731999999999999</v>
      </c>
      <c r="E59">
        <f t="shared" si="2"/>
        <v>1.0731999999999999</v>
      </c>
      <c r="F59">
        <f t="shared" si="3"/>
        <v>107320</v>
      </c>
      <c r="G59" s="4">
        <f t="shared" si="11"/>
        <v>7.8394183560957013E-14</v>
      </c>
      <c r="H59" s="4">
        <f t="shared" si="12"/>
        <v>7.9432903814265002E-2</v>
      </c>
      <c r="I59" s="4">
        <f t="shared" si="13"/>
        <v>5.0306806639999015</v>
      </c>
      <c r="J59">
        <f t="shared" si="14"/>
        <v>-1.0999995607357609</v>
      </c>
      <c r="K59">
        <f t="shared" si="8"/>
        <v>3.0680663999901367E-2</v>
      </c>
      <c r="L59">
        <f t="shared" si="8"/>
        <v>1.7547763024343712</v>
      </c>
      <c r="M59">
        <f t="shared" si="9"/>
        <v>5.0306806639999015</v>
      </c>
      <c r="N59">
        <f t="shared" si="10"/>
        <v>1.7547763024343712</v>
      </c>
    </row>
    <row r="60" spans="1:14">
      <c r="A60">
        <v>1.0991</v>
      </c>
      <c r="B60">
        <v>57.578000000000003</v>
      </c>
      <c r="C60">
        <f t="shared" si="0"/>
        <v>9.5963333333333337E-4</v>
      </c>
      <c r="D60">
        <f t="shared" si="1"/>
        <v>2.0991</v>
      </c>
      <c r="E60">
        <f t="shared" si="2"/>
        <v>1.0991</v>
      </c>
      <c r="F60">
        <f t="shared" si="3"/>
        <v>109910</v>
      </c>
      <c r="G60" s="4">
        <f t="shared" si="11"/>
        <v>7.7518894495026971E-14</v>
      </c>
      <c r="H60" s="4">
        <f t="shared" si="12"/>
        <v>7.854601719812164E-2</v>
      </c>
      <c r="I60" s="4">
        <f t="shared" si="13"/>
        <v>5.0410372078670287</v>
      </c>
      <c r="J60">
        <f t="shared" si="14"/>
        <v>-1.1048758316645091</v>
      </c>
      <c r="K60">
        <f t="shared" si="8"/>
        <v>4.1037207867028413E-2</v>
      </c>
      <c r="L60">
        <f t="shared" si="8"/>
        <v>1.7602565753727499</v>
      </c>
      <c r="M60">
        <f t="shared" si="9"/>
        <v>5.0410372078670287</v>
      </c>
      <c r="N60">
        <f t="shared" si="10"/>
        <v>1.7602565753727499</v>
      </c>
    </row>
    <row r="61" spans="1:14">
      <c r="A61">
        <v>1.113</v>
      </c>
      <c r="B61">
        <v>59.356999999999999</v>
      </c>
      <c r="C61">
        <f t="shared" si="0"/>
        <v>9.8928333333333325E-4</v>
      </c>
      <c r="D61">
        <f t="shared" si="1"/>
        <v>2.113</v>
      </c>
      <c r="E61">
        <f t="shared" si="2"/>
        <v>1.113</v>
      </c>
      <c r="F61">
        <f t="shared" si="3"/>
        <v>111300</v>
      </c>
      <c r="G61" s="4">
        <f t="shared" si="11"/>
        <v>7.8915985001836181E-14</v>
      </c>
      <c r="H61" s="4">
        <f t="shared" si="12"/>
        <v>7.9961619106404896E-2</v>
      </c>
      <c r="I61" s="4">
        <f t="shared" si="13"/>
        <v>5.0464951643347087</v>
      </c>
      <c r="J61">
        <f t="shared" si="14"/>
        <v>-1.0971184206337339</v>
      </c>
      <c r="K61">
        <f t="shared" si="8"/>
        <v>4.6495164334708308E-2</v>
      </c>
      <c r="L61">
        <f t="shared" si="8"/>
        <v>1.7734719428712051</v>
      </c>
      <c r="M61">
        <f t="shared" si="9"/>
        <v>5.0464951643347087</v>
      </c>
      <c r="N61">
        <f t="shared" si="10"/>
        <v>1.7734719428712051</v>
      </c>
    </row>
    <row r="62" spans="1:14">
      <c r="A62">
        <v>1.1343000000000001</v>
      </c>
      <c r="B62">
        <v>60.707999999999998</v>
      </c>
      <c r="C62">
        <f t="shared" si="0"/>
        <v>1.0118E-3</v>
      </c>
      <c r="D62">
        <f t="shared" si="1"/>
        <v>2.1343000000000001</v>
      </c>
      <c r="E62">
        <f t="shared" si="2"/>
        <v>1.1343000000000001</v>
      </c>
      <c r="F62">
        <f t="shared" si="3"/>
        <v>113430.00000000001</v>
      </c>
      <c r="G62" s="4">
        <f t="shared" si="11"/>
        <v>7.9196537853217634E-14</v>
      </c>
      <c r="H62" s="4">
        <f t="shared" si="12"/>
        <v>8.0245889273480142E-2</v>
      </c>
      <c r="I62" s="4">
        <f t="shared" si="13"/>
        <v>5.0547279320821978</v>
      </c>
      <c r="J62">
        <f t="shared" si="14"/>
        <v>-1.0955772057962365</v>
      </c>
      <c r="K62">
        <f t="shared" si="8"/>
        <v>5.4727932082198082E-2</v>
      </c>
      <c r="L62">
        <f t="shared" si="8"/>
        <v>1.7832459254561921</v>
      </c>
      <c r="M62">
        <f t="shared" si="9"/>
        <v>5.0547279320821978</v>
      </c>
      <c r="N62">
        <f t="shared" si="10"/>
        <v>1.7832459254561921</v>
      </c>
    </row>
    <row r="63" spans="1:14">
      <c r="A63">
        <v>1.1541999999999999</v>
      </c>
      <c r="B63">
        <v>61.780999999999999</v>
      </c>
      <c r="C63">
        <f t="shared" si="0"/>
        <v>1.0296833333333334E-3</v>
      </c>
      <c r="D63">
        <f t="shared" si="1"/>
        <v>2.1541999999999999</v>
      </c>
      <c r="E63">
        <f t="shared" si="2"/>
        <v>1.1541999999999999</v>
      </c>
      <c r="F63">
        <f t="shared" si="3"/>
        <v>115419.99999999999</v>
      </c>
      <c r="G63" s="4">
        <f t="shared" si="11"/>
        <v>7.9206726827813828E-14</v>
      </c>
      <c r="H63" s="4">
        <f t="shared" si="12"/>
        <v>8.0256213251641562E-2</v>
      </c>
      <c r="I63" s="4">
        <f t="shared" si="13"/>
        <v>5.0622810699726442</v>
      </c>
      <c r="J63">
        <f t="shared" si="14"/>
        <v>-1.0955213355405522</v>
      </c>
      <c r="K63">
        <f t="shared" si="8"/>
        <v>6.228106997264389E-2</v>
      </c>
      <c r="L63">
        <f t="shared" si="8"/>
        <v>1.7908549336023223</v>
      </c>
      <c r="M63">
        <f t="shared" si="9"/>
        <v>5.0622810699726442</v>
      </c>
      <c r="N63">
        <f t="shared" si="10"/>
        <v>1.7908549336023223</v>
      </c>
    </row>
    <row r="64" spans="1:14">
      <c r="A64">
        <v>1.1734</v>
      </c>
      <c r="B64">
        <v>63.304000000000002</v>
      </c>
      <c r="C64">
        <f t="shared" si="0"/>
        <v>1.0550666666666667E-3</v>
      </c>
      <c r="D64">
        <f t="shared" si="1"/>
        <v>2.1734</v>
      </c>
      <c r="E64">
        <f t="shared" si="2"/>
        <v>1.1734</v>
      </c>
      <c r="F64">
        <f t="shared" si="3"/>
        <v>117340</v>
      </c>
      <c r="G64" s="4">
        <f t="shared" si="11"/>
        <v>7.9831312936088619E-14</v>
      </c>
      <c r="H64" s="4">
        <f t="shared" si="12"/>
        <v>8.0889075104507727E-2</v>
      </c>
      <c r="I64" s="4">
        <f t="shared" si="13"/>
        <v>5.0694460838803126</v>
      </c>
      <c r="J64">
        <f t="shared" si="14"/>
        <v>-1.0921101303310905</v>
      </c>
      <c r="K64">
        <f t="shared" si="8"/>
        <v>6.9446083880312856E-2</v>
      </c>
      <c r="L64">
        <f t="shared" si="8"/>
        <v>1.8014311527194529</v>
      </c>
      <c r="M64">
        <f t="shared" si="9"/>
        <v>5.0694460838803126</v>
      </c>
      <c r="N64">
        <f t="shared" si="10"/>
        <v>1.8014311527194529</v>
      </c>
    </row>
    <row r="65" spans="1:14">
      <c r="A65">
        <v>1.1991000000000001</v>
      </c>
      <c r="B65">
        <v>64.626999999999995</v>
      </c>
      <c r="C65">
        <f t="shared" si="0"/>
        <v>1.0771166666666667E-3</v>
      </c>
      <c r="D65">
        <f t="shared" si="1"/>
        <v>2.1991000000000001</v>
      </c>
      <c r="E65">
        <f t="shared" si="2"/>
        <v>1.1991000000000001</v>
      </c>
      <c r="F65">
        <f t="shared" si="3"/>
        <v>119910</v>
      </c>
      <c r="G65" s="4">
        <f t="shared" si="11"/>
        <v>7.9752957378831106E-14</v>
      </c>
      <c r="H65" s="4">
        <f t="shared" si="12"/>
        <v>8.0809681338794112E-2</v>
      </c>
      <c r="I65" s="4">
        <f t="shared" si="13"/>
        <v>5.0788554029797677</v>
      </c>
      <c r="J65">
        <f t="shared" si="14"/>
        <v>-1.0925366058077879</v>
      </c>
      <c r="K65">
        <f t="shared" si="8"/>
        <v>7.8855402979767342E-2</v>
      </c>
      <c r="L65">
        <f t="shared" si="8"/>
        <v>1.8104139963422099</v>
      </c>
      <c r="M65">
        <f t="shared" si="9"/>
        <v>5.0788554029797677</v>
      </c>
      <c r="N65">
        <f t="shared" si="10"/>
        <v>1.8104139963422099</v>
      </c>
    </row>
    <row r="66" spans="1:14">
      <c r="A66">
        <v>1.2129000000000001</v>
      </c>
      <c r="B66">
        <v>65.680000000000007</v>
      </c>
      <c r="C66">
        <f t="shared" si="0"/>
        <v>1.0946666666666667E-3</v>
      </c>
      <c r="D66">
        <f t="shared" si="1"/>
        <v>2.2129000000000003</v>
      </c>
      <c r="E66">
        <f t="shared" si="2"/>
        <v>1.2129000000000003</v>
      </c>
      <c r="F66">
        <f t="shared" si="3"/>
        <v>121290.00000000003</v>
      </c>
      <c r="G66" s="4">
        <f t="shared" si="11"/>
        <v>8.0130222953776019E-14</v>
      </c>
      <c r="H66" s="4">
        <f t="shared" si="12"/>
        <v>8.1191945669715174E-2</v>
      </c>
      <c r="I66" s="4">
        <f t="shared" si="13"/>
        <v>5.0838249960533366</v>
      </c>
      <c r="J66">
        <f t="shared" si="14"/>
        <v>-1.0904870511121829</v>
      </c>
      <c r="K66">
        <f t="shared" si="8"/>
        <v>8.3824996053336751E-2</v>
      </c>
      <c r="L66">
        <f t="shared" si="8"/>
        <v>1.8174331441113845</v>
      </c>
      <c r="M66">
        <f t="shared" si="9"/>
        <v>5.0838249960533366</v>
      </c>
      <c r="N66">
        <f t="shared" si="10"/>
        <v>1.8174331441113845</v>
      </c>
    </row>
    <row r="67" spans="1:14">
      <c r="A67" s="1">
        <v>1.2342</v>
      </c>
      <c r="B67" s="1">
        <v>67.415000000000006</v>
      </c>
      <c r="C67" s="1">
        <f t="shared" si="0"/>
        <v>1.1235833333333334E-3</v>
      </c>
      <c r="D67" s="1">
        <f t="shared" si="1"/>
        <v>2.2342</v>
      </c>
      <c r="E67" s="1">
        <f t="shared" si="2"/>
        <v>1.2342</v>
      </c>
      <c r="F67" s="1">
        <f t="shared" si="3"/>
        <v>123420</v>
      </c>
      <c r="G67" s="1">
        <f t="shared" si="11"/>
        <v>8.0827509974088369E-14</v>
      </c>
      <c r="H67" s="1">
        <f t="shared" si="12"/>
        <v>8.1898471719219074E-2</v>
      </c>
      <c r="I67" s="1">
        <f t="shared" si="13"/>
        <v>5.0913855420783678</v>
      </c>
      <c r="J67" s="1">
        <f t="shared" si="14"/>
        <v>-1.0867242023922394</v>
      </c>
      <c r="K67" s="1">
        <f t="shared" si="8"/>
        <v>9.1385542078367632E-2</v>
      </c>
      <c r="L67" s="1">
        <f t="shared" si="8"/>
        <v>1.8287565388563587</v>
      </c>
      <c r="M67">
        <f t="shared" si="9"/>
        <v>5.0913855420783678</v>
      </c>
      <c r="N67">
        <f t="shared" si="10"/>
        <v>1.8287565388563587</v>
      </c>
    </row>
    <row r="68" spans="1:14">
      <c r="A68">
        <v>1.2555000000000001</v>
      </c>
      <c r="B68">
        <v>68.488</v>
      </c>
      <c r="C68">
        <f t="shared" ref="C68:C80" si="15">B68/(1000*60)</f>
        <v>1.1414666666666666E-3</v>
      </c>
      <c r="D68">
        <f t="shared" ref="D68:D80" si="16">A68+1</f>
        <v>2.2555000000000001</v>
      </c>
      <c r="E68">
        <f t="shared" ref="E68:E80" si="17">D68-1</f>
        <v>1.2555000000000001</v>
      </c>
      <c r="F68">
        <f t="shared" ref="F68:F80" si="18">E68*100000</f>
        <v>125550</v>
      </c>
      <c r="G68" s="4">
        <f t="shared" si="11"/>
        <v>8.0720895282977135E-14</v>
      </c>
      <c r="H68" s="4">
        <f t="shared" si="12"/>
        <v>8.1790444387093833E-2</v>
      </c>
      <c r="I68" s="4">
        <f t="shared" si="13"/>
        <v>5.0988167170489413</v>
      </c>
      <c r="J68">
        <f t="shared" si="14"/>
        <v>-1.087297432176686</v>
      </c>
      <c r="K68">
        <f t="shared" si="8"/>
        <v>9.8816717048941252E-2</v>
      </c>
      <c r="L68">
        <f t="shared" si="8"/>
        <v>1.8356144840424859</v>
      </c>
      <c r="M68">
        <f t="shared" si="9"/>
        <v>5.0988167170489413</v>
      </c>
      <c r="N68">
        <f t="shared" si="10"/>
        <v>1.8356144840424859</v>
      </c>
    </row>
    <row r="69" spans="1:14">
      <c r="A69">
        <v>1.2722</v>
      </c>
      <c r="B69">
        <v>69.978999999999999</v>
      </c>
      <c r="C69">
        <f t="shared" si="15"/>
        <v>1.1663166666666667E-3</v>
      </c>
      <c r="D69">
        <f t="shared" si="16"/>
        <v>2.2721999999999998</v>
      </c>
      <c r="E69">
        <f t="shared" si="17"/>
        <v>1.2721999999999998</v>
      </c>
      <c r="F69">
        <f t="shared" si="18"/>
        <v>127219.99999999997</v>
      </c>
      <c r="G69" s="4">
        <f t="shared" si="11"/>
        <v>8.1395527855835956E-14</v>
      </c>
      <c r="H69" s="4">
        <f t="shared" si="12"/>
        <v>8.2474015818489593E-2</v>
      </c>
      <c r="I69" s="4">
        <f t="shared" si="13"/>
        <v>5.1045553912405133</v>
      </c>
      <c r="J69">
        <f t="shared" si="14"/>
        <v>-1.0836828582882194</v>
      </c>
      <c r="K69">
        <f t="shared" ref="K69:L80" si="19">LOG(A69)</f>
        <v>0.10455539124051359</v>
      </c>
      <c r="L69">
        <f t="shared" si="19"/>
        <v>1.8449677321225246</v>
      </c>
      <c r="M69">
        <f t="shared" ref="M69:M80" si="20">LOG(F69)</f>
        <v>5.1045553912405133</v>
      </c>
      <c r="N69">
        <f t="shared" ref="N69:N80" si="21">LOG(B69)</f>
        <v>1.8449677321225246</v>
      </c>
    </row>
    <row r="70" spans="1:14">
      <c r="A70">
        <v>1.292</v>
      </c>
      <c r="B70">
        <v>71.337000000000003</v>
      </c>
      <c r="C70">
        <f t="shared" si="15"/>
        <v>1.18895E-3</v>
      </c>
      <c r="D70">
        <f t="shared" si="16"/>
        <v>2.2919999999999998</v>
      </c>
      <c r="E70">
        <f t="shared" si="17"/>
        <v>1.2919999999999998</v>
      </c>
      <c r="F70">
        <f t="shared" si="18"/>
        <v>129199.99999999999</v>
      </c>
      <c r="G70" s="4">
        <f t="shared" si="11"/>
        <v>8.1703475514383412E-14</v>
      </c>
      <c r="H70" s="4">
        <f t="shared" si="12"/>
        <v>8.2786043772989662E-2</v>
      </c>
      <c r="I70" s="4">
        <f t="shared" si="13"/>
        <v>5.1112625136590655</v>
      </c>
      <c r="J70">
        <f t="shared" si="14"/>
        <v>-1.0820428712253485</v>
      </c>
      <c r="K70">
        <f t="shared" si="19"/>
        <v>0.1112625136590653</v>
      </c>
      <c r="L70">
        <f t="shared" si="19"/>
        <v>1.8533148416039473</v>
      </c>
      <c r="M70">
        <f t="shared" si="20"/>
        <v>5.1112625136590655</v>
      </c>
      <c r="N70">
        <f t="shared" si="21"/>
        <v>1.8533148416039473</v>
      </c>
    </row>
    <row r="71" spans="1:14">
      <c r="A71">
        <v>1.3113999999999999</v>
      </c>
      <c r="B71">
        <v>72.914000000000001</v>
      </c>
      <c r="C71">
        <f t="shared" si="15"/>
        <v>1.2152333333333334E-3</v>
      </c>
      <c r="D71">
        <f t="shared" si="16"/>
        <v>2.3113999999999999</v>
      </c>
      <c r="E71">
        <f t="shared" si="17"/>
        <v>1.3113999999999999</v>
      </c>
      <c r="F71">
        <f t="shared" si="18"/>
        <v>131140</v>
      </c>
      <c r="G71" s="4">
        <f t="shared" si="11"/>
        <v>8.2274252960455473E-14</v>
      </c>
      <c r="H71" s="4">
        <f t="shared" si="12"/>
        <v>8.3364384000717648E-2</v>
      </c>
      <c r="I71" s="4">
        <f t="shared" si="13"/>
        <v>5.1177351793304968</v>
      </c>
      <c r="J71">
        <f t="shared" si="14"/>
        <v>-1.0790194545860974</v>
      </c>
      <c r="K71">
        <f t="shared" si="19"/>
        <v>0.1177351793304965</v>
      </c>
      <c r="L71">
        <f t="shared" si="19"/>
        <v>1.8628109239146298</v>
      </c>
      <c r="M71">
        <f t="shared" si="20"/>
        <v>5.1177351793304968</v>
      </c>
      <c r="N71">
        <f t="shared" si="21"/>
        <v>1.8628109239146298</v>
      </c>
    </row>
    <row r="72" spans="1:14">
      <c r="A72">
        <v>1.3324</v>
      </c>
      <c r="B72">
        <v>74.209999999999994</v>
      </c>
      <c r="C72">
        <f t="shared" si="15"/>
        <v>1.2368333333333333E-3</v>
      </c>
      <c r="D72">
        <f t="shared" si="16"/>
        <v>2.3323999999999998</v>
      </c>
      <c r="E72">
        <f t="shared" si="17"/>
        <v>1.3323999999999998</v>
      </c>
      <c r="F72">
        <f t="shared" si="18"/>
        <v>133239.99999999997</v>
      </c>
      <c r="G72" s="4">
        <f t="shared" si="11"/>
        <v>8.2416849811981519E-14</v>
      </c>
      <c r="H72" s="4">
        <f t="shared" si="12"/>
        <v>8.3508870255653622E-2</v>
      </c>
      <c r="I72" s="4">
        <f t="shared" si="13"/>
        <v>5.1246346240191389</v>
      </c>
      <c r="J72">
        <f t="shared" si="14"/>
        <v>-1.0782673916004497</v>
      </c>
      <c r="K72">
        <f t="shared" si="19"/>
        <v>0.1246346240191392</v>
      </c>
      <c r="L72">
        <f t="shared" si="19"/>
        <v>1.87046243158892</v>
      </c>
      <c r="M72">
        <f t="shared" si="20"/>
        <v>5.1246346240191389</v>
      </c>
      <c r="N72">
        <f t="shared" si="21"/>
        <v>1.87046243158892</v>
      </c>
    </row>
    <row r="73" spans="1:14">
      <c r="A73">
        <v>1.3512999999999999</v>
      </c>
      <c r="B73">
        <v>75.769000000000005</v>
      </c>
      <c r="C73">
        <f t="shared" si="15"/>
        <v>1.2628166666666667E-3</v>
      </c>
      <c r="D73">
        <f t="shared" si="16"/>
        <v>2.3513000000000002</v>
      </c>
      <c r="E73">
        <f t="shared" si="17"/>
        <v>1.3513000000000002</v>
      </c>
      <c r="F73">
        <f t="shared" si="18"/>
        <v>135130.00000000003</v>
      </c>
      <c r="G73" s="4">
        <f t="shared" si="11"/>
        <v>8.2971316632998325E-14</v>
      </c>
      <c r="H73" s="4">
        <f t="shared" si="12"/>
        <v>8.407068374310174E-2</v>
      </c>
      <c r="I73" s="4">
        <f t="shared" si="13"/>
        <v>5.1307517767651429</v>
      </c>
      <c r="J73">
        <f t="shared" si="14"/>
        <v>-1.0753554204709233</v>
      </c>
      <c r="K73">
        <f t="shared" si="19"/>
        <v>0.13075177676514291</v>
      </c>
      <c r="L73">
        <f t="shared" si="19"/>
        <v>1.8794915554644502</v>
      </c>
      <c r="M73">
        <f t="shared" si="20"/>
        <v>5.1307517767651429</v>
      </c>
      <c r="N73">
        <f t="shared" si="21"/>
        <v>1.8794915554644502</v>
      </c>
    </row>
    <row r="74" spans="1:14">
      <c r="A74">
        <v>1.3752</v>
      </c>
      <c r="B74">
        <v>77.006</v>
      </c>
      <c r="C74">
        <f t="shared" si="15"/>
        <v>1.2834333333333334E-3</v>
      </c>
      <c r="D74">
        <f t="shared" si="16"/>
        <v>2.3752</v>
      </c>
      <c r="E74">
        <f t="shared" si="17"/>
        <v>1.3752</v>
      </c>
      <c r="F74">
        <f t="shared" si="18"/>
        <v>137520</v>
      </c>
      <c r="G74" s="4">
        <f t="shared" si="11"/>
        <v>8.2860376892509739E-14</v>
      </c>
      <c r="H74" s="4">
        <f t="shared" si="12"/>
        <v>8.3958274054842699E-2</v>
      </c>
      <c r="I74" s="4">
        <f t="shared" si="13"/>
        <v>5.1383658636789962</v>
      </c>
      <c r="J74">
        <f t="shared" si="14"/>
        <v>-1.0759364978667016</v>
      </c>
      <c r="K74">
        <f t="shared" si="19"/>
        <v>0.138365863678996</v>
      </c>
      <c r="L74">
        <f t="shared" si="19"/>
        <v>1.8865245649825249</v>
      </c>
      <c r="M74">
        <f t="shared" si="20"/>
        <v>5.1383658636789962</v>
      </c>
      <c r="N74">
        <f t="shared" si="21"/>
        <v>1.8865245649825249</v>
      </c>
    </row>
    <row r="75" spans="1:14">
      <c r="A75">
        <v>1.3912</v>
      </c>
      <c r="B75">
        <v>78.424000000000007</v>
      </c>
      <c r="C75">
        <f t="shared" si="15"/>
        <v>1.3070666666666667E-3</v>
      </c>
      <c r="D75">
        <f t="shared" si="16"/>
        <v>2.3912</v>
      </c>
      <c r="E75">
        <f t="shared" si="17"/>
        <v>1.3912</v>
      </c>
      <c r="F75">
        <f t="shared" si="18"/>
        <v>139120</v>
      </c>
      <c r="G75" s="4">
        <f t="shared" si="11"/>
        <v>8.3415666402534778E-14</v>
      </c>
      <c r="H75" s="4">
        <f t="shared" si="12"/>
        <v>8.4520921131900295E-2</v>
      </c>
      <c r="I75" s="4">
        <f t="shared" si="13"/>
        <v>5.1433895689946558</v>
      </c>
      <c r="J75">
        <f t="shared" si="14"/>
        <v>-1.0730357785349927</v>
      </c>
      <c r="K75">
        <f t="shared" si="19"/>
        <v>0.14338956899465605</v>
      </c>
      <c r="L75">
        <f t="shared" si="19"/>
        <v>1.8944489896298939</v>
      </c>
      <c r="M75">
        <f t="shared" si="20"/>
        <v>5.1433895689946558</v>
      </c>
      <c r="N75">
        <f t="shared" si="21"/>
        <v>1.8944489896298939</v>
      </c>
    </row>
    <row r="76" spans="1:14">
      <c r="A76">
        <v>1.4136</v>
      </c>
      <c r="B76">
        <v>79.900000000000006</v>
      </c>
      <c r="C76">
        <f t="shared" si="15"/>
        <v>1.3316666666666668E-3</v>
      </c>
      <c r="D76">
        <f t="shared" si="16"/>
        <v>2.4135999999999997</v>
      </c>
      <c r="E76">
        <f t="shared" si="17"/>
        <v>1.4135999999999997</v>
      </c>
      <c r="F76">
        <f t="shared" si="18"/>
        <v>141359.99999999997</v>
      </c>
      <c r="G76" s="4">
        <f t="shared" si="11"/>
        <v>8.363892569826227E-14</v>
      </c>
      <c r="H76" s="4">
        <f t="shared" si="12"/>
        <v>8.4747138605666988E-2</v>
      </c>
      <c r="I76" s="4">
        <f t="shared" si="13"/>
        <v>5.1503265364987074</v>
      </c>
      <c r="J76">
        <f t="shared" si="14"/>
        <v>-1.0718749563549468</v>
      </c>
      <c r="K76">
        <f t="shared" si="19"/>
        <v>0.15032653649870764</v>
      </c>
      <c r="L76">
        <f t="shared" si="19"/>
        <v>1.9025467793139914</v>
      </c>
      <c r="M76">
        <f t="shared" si="20"/>
        <v>5.1503265364987074</v>
      </c>
      <c r="N76">
        <f t="shared" si="21"/>
        <v>1.9025467793139914</v>
      </c>
    </row>
    <row r="77" spans="1:14">
      <c r="A77">
        <v>1.4311</v>
      </c>
      <c r="B77">
        <v>81.25</v>
      </c>
      <c r="C77">
        <f t="shared" si="15"/>
        <v>1.3541666666666667E-3</v>
      </c>
      <c r="D77">
        <f t="shared" si="16"/>
        <v>2.4310999999999998</v>
      </c>
      <c r="E77">
        <f t="shared" si="17"/>
        <v>1.4310999999999998</v>
      </c>
      <c r="F77">
        <f t="shared" si="18"/>
        <v>143109.99999999997</v>
      </c>
      <c r="G77" s="4">
        <f t="shared" si="11"/>
        <v>8.4012051706673668E-14</v>
      </c>
      <c r="H77" s="4">
        <f t="shared" si="12"/>
        <v>8.5125208520939424E-2</v>
      </c>
      <c r="I77" s="4">
        <f t="shared" si="13"/>
        <v>5.1556699817198108</v>
      </c>
      <c r="J77">
        <f t="shared" si="14"/>
        <v>-1.0699418112391299</v>
      </c>
      <c r="K77">
        <f t="shared" si="19"/>
        <v>0.15566998171981131</v>
      </c>
      <c r="L77">
        <f t="shared" si="19"/>
        <v>1.9098233696509119</v>
      </c>
      <c r="M77">
        <f t="shared" si="20"/>
        <v>5.1556699817198108</v>
      </c>
      <c r="N77">
        <f t="shared" si="21"/>
        <v>1.9098233696509119</v>
      </c>
    </row>
    <row r="78" spans="1:14">
      <c r="A78">
        <v>1.4521999999999999</v>
      </c>
      <c r="B78">
        <v>82.677999999999997</v>
      </c>
      <c r="C78">
        <f t="shared" si="15"/>
        <v>1.3779666666666665E-3</v>
      </c>
      <c r="D78">
        <f t="shared" si="16"/>
        <v>2.4521999999999999</v>
      </c>
      <c r="E78">
        <f t="shared" si="17"/>
        <v>1.4521999999999999</v>
      </c>
      <c r="F78">
        <f t="shared" si="18"/>
        <v>145220</v>
      </c>
      <c r="G78" s="4">
        <f t="shared" si="11"/>
        <v>8.4246473963012898E-14</v>
      </c>
      <c r="H78" s="4">
        <f t="shared" si="12"/>
        <v>8.5362736864164512E-2</v>
      </c>
      <c r="I78" s="4">
        <f t="shared" si="13"/>
        <v>5.1620264324211771</v>
      </c>
      <c r="J78">
        <f t="shared" si="14"/>
        <v>-1.0687316691933582</v>
      </c>
      <c r="K78">
        <f t="shared" si="19"/>
        <v>0.16202643242117698</v>
      </c>
      <c r="L78">
        <f t="shared" si="19"/>
        <v>1.9173899623980493</v>
      </c>
      <c r="M78">
        <f t="shared" si="20"/>
        <v>5.1620264324211771</v>
      </c>
      <c r="N78">
        <f t="shared" si="21"/>
        <v>1.9173899623980493</v>
      </c>
    </row>
    <row r="79" spans="1:14">
      <c r="A79">
        <v>1.4738</v>
      </c>
      <c r="B79">
        <v>83.926000000000002</v>
      </c>
      <c r="C79">
        <f t="shared" si="15"/>
        <v>1.3987666666666666E-3</v>
      </c>
      <c r="D79">
        <f t="shared" si="16"/>
        <v>2.4737999999999998</v>
      </c>
      <c r="E79">
        <f t="shared" si="17"/>
        <v>1.4737999999999998</v>
      </c>
      <c r="F79">
        <f t="shared" si="18"/>
        <v>147379.99999999997</v>
      </c>
      <c r="G79" s="4">
        <f t="shared" si="11"/>
        <v>8.4264796356384682E-14</v>
      </c>
      <c r="H79" s="4">
        <f t="shared" si="12"/>
        <v>8.5381302028622361E-2</v>
      </c>
      <c r="I79" s="4">
        <f t="shared" si="13"/>
        <v>5.168438552186772</v>
      </c>
      <c r="J79">
        <f t="shared" si="14"/>
        <v>-1.0686372266750281</v>
      </c>
      <c r="K79">
        <f t="shared" si="19"/>
        <v>0.16843855218677245</v>
      </c>
      <c r="L79">
        <f t="shared" si="19"/>
        <v>1.9238965246819748</v>
      </c>
      <c r="M79">
        <f t="shared" si="20"/>
        <v>5.168438552186772</v>
      </c>
      <c r="N79">
        <f t="shared" si="21"/>
        <v>1.9238965246819748</v>
      </c>
    </row>
    <row r="80" spans="1:14">
      <c r="A80">
        <v>1.4912000000000001</v>
      </c>
      <c r="B80">
        <v>85.436999999999998</v>
      </c>
      <c r="C80">
        <f t="shared" si="15"/>
        <v>1.42395E-3</v>
      </c>
      <c r="D80">
        <f t="shared" si="16"/>
        <v>2.4912000000000001</v>
      </c>
      <c r="E80">
        <f t="shared" si="17"/>
        <v>1.4912000000000001</v>
      </c>
      <c r="F80">
        <f t="shared" si="18"/>
        <v>149120</v>
      </c>
      <c r="G80" s="4">
        <f t="shared" si="11"/>
        <v>8.4780953842902186E-14</v>
      </c>
      <c r="H80" s="4">
        <f t="shared" si="12"/>
        <v>8.5904298584198166E-2</v>
      </c>
      <c r="I80" s="4">
        <f t="shared" si="13"/>
        <v>5.1735358950099064</v>
      </c>
      <c r="J80">
        <f t="shared" si="14"/>
        <v>-1.0659851038673771</v>
      </c>
      <c r="K80">
        <f t="shared" si="19"/>
        <v>0.17353589500990615</v>
      </c>
      <c r="L80">
        <f t="shared" si="19"/>
        <v>1.9316459903127594</v>
      </c>
      <c r="M80">
        <f t="shared" si="20"/>
        <v>5.1735358950099064</v>
      </c>
      <c r="N80">
        <f t="shared" si="21"/>
        <v>1.9316459903127594</v>
      </c>
    </row>
    <row r="82" spans="1:15">
      <c r="A82" s="1" t="s">
        <v>42</v>
      </c>
    </row>
    <row r="83" spans="1:15">
      <c r="A83" t="s">
        <v>6</v>
      </c>
      <c r="B83" t="s">
        <v>7</v>
      </c>
      <c r="C83" t="s">
        <v>30</v>
      </c>
      <c r="D83" t="s">
        <v>31</v>
      </c>
      <c r="E83" s="3" t="s">
        <v>32</v>
      </c>
      <c r="F83" s="3" t="s">
        <v>33</v>
      </c>
      <c r="G83" s="4" t="s">
        <v>34</v>
      </c>
      <c r="H83" s="5" t="s">
        <v>35</v>
      </c>
      <c r="I83" s="5" t="s">
        <v>36</v>
      </c>
      <c r="J83" s="5" t="s">
        <v>37</v>
      </c>
      <c r="K83" s="5" t="s">
        <v>38</v>
      </c>
      <c r="L83" s="5" t="s">
        <v>39</v>
      </c>
      <c r="M83" s="5" t="s">
        <v>41</v>
      </c>
      <c r="N83" s="5" t="s">
        <v>40</v>
      </c>
      <c r="O83" s="5" t="s">
        <v>39</v>
      </c>
    </row>
    <row r="84" spans="1:15">
      <c r="A84">
        <v>0</v>
      </c>
      <c r="B84">
        <v>0</v>
      </c>
      <c r="C84">
        <f t="shared" ref="C84:C147" si="22">B84/(1000*60)</f>
        <v>0</v>
      </c>
      <c r="D84">
        <f t="shared" ref="D84:D147" si="23">A84+1</f>
        <v>1</v>
      </c>
      <c r="E84">
        <f t="shared" ref="E84:E147" si="24">D84-1</f>
        <v>0</v>
      </c>
      <c r="F84">
        <f t="shared" ref="F84:F147" si="25">E84*100000</f>
        <v>0</v>
      </c>
      <c r="G84" s="4" t="e">
        <f>(0.00001781*0.000134*C84)/(0.0002688*F84)</f>
        <v>#DIV/0!</v>
      </c>
      <c r="H84" s="4" t="e">
        <f>G84/(0.0000000000009869233)</f>
        <v>#DIV/0!</v>
      </c>
      <c r="I84" s="4" t="e">
        <f>LOG(F84)</f>
        <v>#NUM!</v>
      </c>
      <c r="J84" t="e">
        <f>LOG(H84)</f>
        <v>#DIV/0!</v>
      </c>
      <c r="K84" t="e">
        <f>LOG(A84)</f>
        <v>#NUM!</v>
      </c>
      <c r="L84" t="e">
        <f>LOG(B84)</f>
        <v>#NUM!</v>
      </c>
      <c r="N84" t="e">
        <f>LOG(F84)</f>
        <v>#NUM!</v>
      </c>
      <c r="O84" t="e">
        <f>LOG(B84)</f>
        <v>#NUM!</v>
      </c>
    </row>
    <row r="85" spans="1:15">
      <c r="A85">
        <v>5.4711999999999998E-3</v>
      </c>
      <c r="B85">
        <v>1.1215000000000001E-3</v>
      </c>
      <c r="C85">
        <f t="shared" si="22"/>
        <v>1.8691666666666667E-8</v>
      </c>
      <c r="D85">
        <f t="shared" si="23"/>
        <v>1.0054711999999999</v>
      </c>
      <c r="E85">
        <f t="shared" si="24"/>
        <v>5.4711999999998984E-3</v>
      </c>
      <c r="F85">
        <f t="shared" si="25"/>
        <v>547.11999999998989</v>
      </c>
      <c r="G85" s="4">
        <f t="shared" ref="G85:G107" si="26">(0.00001781*0.000134*C85)/(0.0002688*F85)</f>
        <v>3.0332268399993202E-16</v>
      </c>
      <c r="H85" s="4">
        <f t="shared" ref="H85:H107" si="27">G85/(0.0000000000009869233)</f>
        <v>3.0734169919783227E-4</v>
      </c>
      <c r="I85" s="4">
        <f t="shared" ref="I85:I107" si="28">LOG(F85)</f>
        <v>2.7380825907249653</v>
      </c>
      <c r="J85">
        <f t="shared" ref="J85:J107" si="29">LOG(H85)</f>
        <v>-3.5123785119762094</v>
      </c>
      <c r="K85">
        <f t="shared" ref="K85:L148" si="30">LOG(A85)</f>
        <v>-2.2619174092750267</v>
      </c>
      <c r="L85">
        <f t="shared" si="30"/>
        <v>-2.9502007220810134</v>
      </c>
      <c r="N85">
        <f t="shared" ref="N85:N148" si="31">LOG(F85)</f>
        <v>2.7380825907249653</v>
      </c>
      <c r="O85">
        <f t="shared" ref="O85:O148" si="32">LOG(B85)</f>
        <v>-2.9502007220810134</v>
      </c>
    </row>
    <row r="86" spans="1:15">
      <c r="A86">
        <v>2.0268999999999999E-2</v>
      </c>
      <c r="B86">
        <v>1.9226E-3</v>
      </c>
      <c r="C86">
        <f t="shared" si="22"/>
        <v>3.2043333333333334E-8</v>
      </c>
      <c r="D86">
        <f t="shared" si="23"/>
        <v>1.0202690000000001</v>
      </c>
      <c r="E86">
        <f t="shared" si="24"/>
        <v>2.0269000000000092E-2</v>
      </c>
      <c r="F86">
        <f t="shared" si="25"/>
        <v>2026.9000000000092</v>
      </c>
      <c r="G86" s="4">
        <f t="shared" si="26"/>
        <v>1.4036047147512719E-16</v>
      </c>
      <c r="H86" s="4">
        <f t="shared" si="27"/>
        <v>1.4222024292579491E-4</v>
      </c>
      <c r="I86" s="4">
        <f t="shared" si="28"/>
        <v>3.3068323226843774</v>
      </c>
      <c r="J86">
        <f t="shared" si="29"/>
        <v>-3.8470385838785517</v>
      </c>
      <c r="K86">
        <f t="shared" si="30"/>
        <v>-1.6931676773156246</v>
      </c>
      <c r="L86">
        <f t="shared" si="30"/>
        <v>-2.7161110620239435</v>
      </c>
      <c r="N86">
        <f t="shared" si="31"/>
        <v>3.3068323226843774</v>
      </c>
      <c r="O86">
        <f t="shared" si="32"/>
        <v>-2.7161110620239435</v>
      </c>
    </row>
    <row r="87" spans="1:15">
      <c r="A87">
        <v>4.0312000000000001E-2</v>
      </c>
      <c r="B87">
        <v>4.1656999999999996E-3</v>
      </c>
      <c r="C87">
        <f t="shared" si="22"/>
        <v>6.9428333333333321E-8</v>
      </c>
      <c r="D87">
        <f t="shared" si="23"/>
        <v>1.0403119999999999</v>
      </c>
      <c r="E87">
        <f t="shared" si="24"/>
        <v>4.0311999999999903E-2</v>
      </c>
      <c r="F87">
        <f t="shared" si="25"/>
        <v>4031.1999999999903</v>
      </c>
      <c r="G87" s="4">
        <f t="shared" si="26"/>
        <v>1.5291209834988518E-16</v>
      </c>
      <c r="H87" s="4">
        <f t="shared" si="27"/>
        <v>1.5493817842773109E-4</v>
      </c>
      <c r="I87" s="4">
        <f t="shared" si="28"/>
        <v>3.6054343453477111</v>
      </c>
      <c r="J87">
        <f t="shared" si="29"/>
        <v>-3.8098415542388904</v>
      </c>
      <c r="K87">
        <f t="shared" si="30"/>
        <v>-1.3945656546522878</v>
      </c>
      <c r="L87">
        <f t="shared" si="30"/>
        <v>-2.3803120097209489</v>
      </c>
      <c r="N87">
        <f t="shared" si="31"/>
        <v>3.6054343453477111</v>
      </c>
      <c r="O87">
        <f t="shared" si="32"/>
        <v>-2.3803120097209489</v>
      </c>
    </row>
    <row r="88" spans="1:15">
      <c r="A88">
        <v>6.0164000000000002E-2</v>
      </c>
      <c r="B88">
        <v>3.3646000000000001E-3</v>
      </c>
      <c r="C88">
        <f t="shared" si="22"/>
        <v>5.6076666666666671E-8</v>
      </c>
      <c r="D88">
        <f t="shared" si="23"/>
        <v>1.0601640000000001</v>
      </c>
      <c r="E88">
        <f t="shared" si="24"/>
        <v>6.0164000000000106E-2</v>
      </c>
      <c r="F88">
        <f t="shared" si="25"/>
        <v>6016.4000000000106</v>
      </c>
      <c r="G88" s="4">
        <f t="shared" si="26"/>
        <v>8.2753227528947201E-17</v>
      </c>
      <c r="H88" s="4">
        <f t="shared" si="27"/>
        <v>8.3849704965874443E-5</v>
      </c>
      <c r="I88" s="4">
        <f t="shared" si="28"/>
        <v>3.7793367025865496</v>
      </c>
      <c r="J88">
        <f t="shared" si="29"/>
        <v>-4.0764984611666391</v>
      </c>
      <c r="K88">
        <f t="shared" si="30"/>
        <v>-1.2206632974134513</v>
      </c>
      <c r="L88">
        <f t="shared" si="30"/>
        <v>-2.4730665594098586</v>
      </c>
      <c r="N88">
        <f t="shared" si="31"/>
        <v>3.7793367025865496</v>
      </c>
      <c r="O88">
        <f t="shared" si="32"/>
        <v>-2.4730665594098586</v>
      </c>
    </row>
    <row r="89" spans="1:15">
      <c r="A89">
        <v>8.0128000000000005E-2</v>
      </c>
      <c r="B89">
        <v>3.8452999999999998E-3</v>
      </c>
      <c r="C89">
        <f t="shared" si="22"/>
        <v>6.4088333333333327E-8</v>
      </c>
      <c r="D89">
        <f t="shared" si="23"/>
        <v>1.080128</v>
      </c>
      <c r="E89">
        <f t="shared" si="24"/>
        <v>8.0127999999999977E-2</v>
      </c>
      <c r="F89">
        <f t="shared" si="25"/>
        <v>8012.7999999999975</v>
      </c>
      <c r="G89" s="4">
        <f t="shared" si="26"/>
        <v>7.1012389771479748E-17</v>
      </c>
      <c r="H89" s="4">
        <f t="shared" si="27"/>
        <v>7.1953301509326749E-5</v>
      </c>
      <c r="I89" s="4">
        <f t="shared" si="28"/>
        <v>3.9037843028582979</v>
      </c>
      <c r="J89">
        <f t="shared" si="29"/>
        <v>-4.1429492740777976</v>
      </c>
      <c r="K89">
        <f t="shared" si="30"/>
        <v>-1.0962156971417019</v>
      </c>
      <c r="L89">
        <f t="shared" si="30"/>
        <v>-2.4150697720492693</v>
      </c>
      <c r="N89">
        <f t="shared" si="31"/>
        <v>3.9037843028582979</v>
      </c>
      <c r="O89">
        <f t="shared" si="32"/>
        <v>-2.4150697720492693</v>
      </c>
    </row>
    <row r="90" spans="1:15">
      <c r="A90">
        <v>9.9904999999999994E-2</v>
      </c>
      <c r="B90">
        <v>3.2044E-3</v>
      </c>
      <c r="C90">
        <f t="shared" si="22"/>
        <v>5.3406666666666667E-8</v>
      </c>
      <c r="D90">
        <f t="shared" si="23"/>
        <v>1.0999049999999999</v>
      </c>
      <c r="E90">
        <f t="shared" si="24"/>
        <v>9.9904999999999911E-2</v>
      </c>
      <c r="F90">
        <f t="shared" si="25"/>
        <v>9990.4999999999909</v>
      </c>
      <c r="G90" s="4">
        <f t="shared" si="26"/>
        <v>4.7462182178228099E-17</v>
      </c>
      <c r="H90" s="4">
        <f t="shared" si="27"/>
        <v>4.8091054470218806E-5</v>
      </c>
      <c r="I90" s="4">
        <f t="shared" si="28"/>
        <v>3.9995872241426005</v>
      </c>
      <c r="J90">
        <f t="shared" si="29"/>
        <v>-4.3179357002483663</v>
      </c>
      <c r="K90">
        <f t="shared" si="30"/>
        <v>-1.0004127758573993</v>
      </c>
      <c r="L90">
        <f t="shared" si="30"/>
        <v>-2.494253276935535</v>
      </c>
      <c r="N90">
        <f t="shared" si="31"/>
        <v>3.9995872241426005</v>
      </c>
      <c r="O90">
        <f t="shared" si="32"/>
        <v>-2.494253276935535</v>
      </c>
    </row>
    <row r="91" spans="1:15">
      <c r="A91">
        <v>0.1202</v>
      </c>
      <c r="B91">
        <v>8.5717999999999992E-3</v>
      </c>
      <c r="C91">
        <f t="shared" si="22"/>
        <v>1.4286333333333332E-7</v>
      </c>
      <c r="D91">
        <f t="shared" si="23"/>
        <v>1.1202000000000001</v>
      </c>
      <c r="E91">
        <f t="shared" si="24"/>
        <v>0.12020000000000008</v>
      </c>
      <c r="F91">
        <f t="shared" si="25"/>
        <v>12020.000000000009</v>
      </c>
      <c r="G91" s="4">
        <f t="shared" si="26"/>
        <v>1.0552509815403552E-16</v>
      </c>
      <c r="H91" s="4">
        <f t="shared" si="27"/>
        <v>1.0692330209858812E-4</v>
      </c>
      <c r="I91" s="4">
        <f t="shared" si="28"/>
        <v>4.0799044676667213</v>
      </c>
      <c r="J91">
        <f t="shared" si="29"/>
        <v>-3.9709276374477582</v>
      </c>
      <c r="K91">
        <f t="shared" si="30"/>
        <v>-0.92009553233327923</v>
      </c>
      <c r="L91">
        <f t="shared" si="30"/>
        <v>-2.0669279706108066</v>
      </c>
      <c r="N91">
        <f t="shared" si="31"/>
        <v>4.0799044676667213</v>
      </c>
      <c r="O91">
        <f t="shared" si="32"/>
        <v>-2.0669279706108066</v>
      </c>
    </row>
    <row r="92" spans="1:15">
      <c r="A92">
        <v>0.14004</v>
      </c>
      <c r="B92">
        <v>7.6505000000000002E-3</v>
      </c>
      <c r="C92">
        <f t="shared" si="22"/>
        <v>1.2750833333333335E-7</v>
      </c>
      <c r="D92">
        <f t="shared" si="23"/>
        <v>1.1400399999999999</v>
      </c>
      <c r="E92">
        <f t="shared" si="24"/>
        <v>0.14003999999999994</v>
      </c>
      <c r="F92">
        <f t="shared" si="25"/>
        <v>14003.999999999995</v>
      </c>
      <c r="G92" s="4">
        <f t="shared" si="26"/>
        <v>8.0839928449793878E-17</v>
      </c>
      <c r="H92" s="4">
        <f t="shared" si="27"/>
        <v>8.1911054739303323E-5</v>
      </c>
      <c r="I92" s="4">
        <f t="shared" si="28"/>
        <v>4.146252102092995</v>
      </c>
      <c r="J92">
        <f t="shared" si="29"/>
        <v>-4.0866574817769354</v>
      </c>
      <c r="K92">
        <f t="shared" si="30"/>
        <v>-0.853747897907005</v>
      </c>
      <c r="L92">
        <f t="shared" si="30"/>
        <v>-2.1163101805137097</v>
      </c>
      <c r="N92">
        <f t="shared" si="31"/>
        <v>4.146252102092995</v>
      </c>
      <c r="O92">
        <f t="shared" si="32"/>
        <v>-2.1163101805137097</v>
      </c>
    </row>
    <row r="93" spans="1:15">
      <c r="A93">
        <v>0.15994</v>
      </c>
      <c r="B93">
        <v>8.2512999999999996E-3</v>
      </c>
      <c r="C93">
        <f t="shared" si="22"/>
        <v>1.3752166666666666E-7</v>
      </c>
      <c r="D93">
        <f t="shared" si="23"/>
        <v>1.15994</v>
      </c>
      <c r="E93">
        <f t="shared" si="24"/>
        <v>0.15993999999999997</v>
      </c>
      <c r="F93">
        <f t="shared" si="25"/>
        <v>15993.999999999996</v>
      </c>
      <c r="G93" s="4">
        <f t="shared" si="26"/>
        <v>7.6340234350964487E-17</v>
      </c>
      <c r="H93" s="4">
        <f t="shared" si="27"/>
        <v>7.7351739847427339E-5</v>
      </c>
      <c r="I93" s="4">
        <f t="shared" si="28"/>
        <v>4.2039570916812439</v>
      </c>
      <c r="J93">
        <f t="shared" si="29"/>
        <v>-4.1115299134107781</v>
      </c>
      <c r="K93">
        <f t="shared" si="30"/>
        <v>-0.7960429083187559</v>
      </c>
      <c r="L93">
        <f t="shared" si="30"/>
        <v>-2.0834776225593035</v>
      </c>
      <c r="N93">
        <f t="shared" si="31"/>
        <v>4.2039570916812439</v>
      </c>
      <c r="O93">
        <f t="shared" si="32"/>
        <v>-2.0834776225593035</v>
      </c>
    </row>
    <row r="94" spans="1:15">
      <c r="A94">
        <v>0.17971000000000001</v>
      </c>
      <c r="B94">
        <v>7.8507999999999998E-3</v>
      </c>
      <c r="C94">
        <f t="shared" si="22"/>
        <v>1.3084666666666666E-7</v>
      </c>
      <c r="D94">
        <f t="shared" si="23"/>
        <v>1.17971</v>
      </c>
      <c r="E94">
        <f t="shared" si="24"/>
        <v>0.17971000000000004</v>
      </c>
      <c r="F94">
        <f t="shared" si="25"/>
        <v>17971.000000000004</v>
      </c>
      <c r="G94" s="4">
        <f t="shared" si="26"/>
        <v>6.4644245761248507E-17</v>
      </c>
      <c r="H94" s="4">
        <f t="shared" si="27"/>
        <v>6.5500779808571238E-5</v>
      </c>
      <c r="I94" s="4">
        <f t="shared" si="28"/>
        <v>4.2545722441873535</v>
      </c>
      <c r="J94">
        <f t="shared" si="29"/>
        <v>-4.1837535295571717</v>
      </c>
      <c r="K94">
        <f t="shared" si="30"/>
        <v>-0.74542775581264686</v>
      </c>
      <c r="L94">
        <f t="shared" si="30"/>
        <v>-2.1050860861995879</v>
      </c>
      <c r="N94">
        <f t="shared" si="31"/>
        <v>4.2545722441873535</v>
      </c>
      <c r="O94">
        <f t="shared" si="32"/>
        <v>-2.1050860861995879</v>
      </c>
    </row>
    <row r="95" spans="1:15">
      <c r="A95">
        <v>0.19966999999999999</v>
      </c>
      <c r="B95">
        <v>8.4916000000000002E-3</v>
      </c>
      <c r="C95">
        <f t="shared" si="22"/>
        <v>1.4152666666666668E-7</v>
      </c>
      <c r="D95">
        <f t="shared" si="23"/>
        <v>1.19967</v>
      </c>
      <c r="E95">
        <f t="shared" si="24"/>
        <v>0.19967000000000001</v>
      </c>
      <c r="F95">
        <f t="shared" si="25"/>
        <v>19967</v>
      </c>
      <c r="G95" s="4">
        <f t="shared" si="26"/>
        <v>6.2931040656567481E-17</v>
      </c>
      <c r="H95" s="4">
        <f t="shared" si="27"/>
        <v>6.3764874794796587E-5</v>
      </c>
      <c r="I95" s="4">
        <f t="shared" si="28"/>
        <v>4.3003128179343699</v>
      </c>
      <c r="J95">
        <f t="shared" si="29"/>
        <v>-4.1954184887331332</v>
      </c>
      <c r="K95">
        <f t="shared" si="30"/>
        <v>-0.69968718206563019</v>
      </c>
      <c r="L95">
        <f t="shared" si="30"/>
        <v>-2.0710104716285325</v>
      </c>
      <c r="N95">
        <f t="shared" si="31"/>
        <v>4.3003128179343699</v>
      </c>
      <c r="O95">
        <f t="shared" si="32"/>
        <v>-2.0710104716285325</v>
      </c>
    </row>
    <row r="96" spans="1:15">
      <c r="A96">
        <v>0.2195</v>
      </c>
      <c r="B96">
        <v>8.3313999999999992E-3</v>
      </c>
      <c r="C96">
        <f t="shared" si="22"/>
        <v>1.3885666666666664E-7</v>
      </c>
      <c r="D96">
        <f t="shared" si="23"/>
        <v>1.2195</v>
      </c>
      <c r="E96">
        <f t="shared" si="24"/>
        <v>0.21950000000000003</v>
      </c>
      <c r="F96">
        <f t="shared" si="25"/>
        <v>21950.000000000004</v>
      </c>
      <c r="G96" s="4">
        <f t="shared" si="26"/>
        <v>5.6165763177043786E-17</v>
      </c>
      <c r="H96" s="4">
        <f t="shared" si="27"/>
        <v>5.6909957619851289E-5</v>
      </c>
      <c r="I96" s="4">
        <f t="shared" si="28"/>
        <v>4.3414345245781405</v>
      </c>
      <c r="J96">
        <f t="shared" si="29"/>
        <v>-4.244811737805338</v>
      </c>
      <c r="K96">
        <f t="shared" si="30"/>
        <v>-0.65856547542185984</v>
      </c>
      <c r="L96">
        <f t="shared" si="30"/>
        <v>-2.0792820140569677</v>
      </c>
      <c r="N96">
        <f t="shared" si="31"/>
        <v>4.3414345245781405</v>
      </c>
      <c r="O96">
        <f t="shared" si="32"/>
        <v>-2.0792820140569677</v>
      </c>
    </row>
    <row r="97" spans="1:15">
      <c r="A97">
        <v>0.23919000000000001</v>
      </c>
      <c r="B97">
        <v>1.1535999999999999E-2</v>
      </c>
      <c r="C97">
        <f t="shared" si="22"/>
        <v>1.9226666666666667E-7</v>
      </c>
      <c r="D97">
        <f t="shared" si="23"/>
        <v>1.23919</v>
      </c>
      <c r="E97">
        <f t="shared" si="24"/>
        <v>0.23919000000000001</v>
      </c>
      <c r="F97">
        <f t="shared" si="25"/>
        <v>23919</v>
      </c>
      <c r="G97" s="4">
        <f t="shared" si="26"/>
        <v>7.1367491441020866E-17</v>
      </c>
      <c r="H97" s="4">
        <f t="shared" si="27"/>
        <v>7.2313108263854814E-5</v>
      </c>
      <c r="I97" s="4">
        <f t="shared" si="28"/>
        <v>4.3787430188130196</v>
      </c>
      <c r="J97">
        <f t="shared" si="29"/>
        <v>-4.140782970607896</v>
      </c>
      <c r="K97">
        <f t="shared" si="30"/>
        <v>-0.62125698118698036</v>
      </c>
      <c r="L97">
        <f t="shared" si="30"/>
        <v>-1.9379447526246463</v>
      </c>
      <c r="N97">
        <f t="shared" si="31"/>
        <v>4.3787430188130196</v>
      </c>
      <c r="O97">
        <f t="shared" si="32"/>
        <v>-1.9379447526246463</v>
      </c>
    </row>
    <row r="98" spans="1:15">
      <c r="A98">
        <v>0.25889000000000001</v>
      </c>
      <c r="B98">
        <v>3.653E-2</v>
      </c>
      <c r="C98">
        <f t="shared" si="22"/>
        <v>6.088333333333333E-7</v>
      </c>
      <c r="D98">
        <f t="shared" si="23"/>
        <v>1.2588900000000001</v>
      </c>
      <c r="E98">
        <f t="shared" si="24"/>
        <v>0.25889000000000006</v>
      </c>
      <c r="F98">
        <f t="shared" si="25"/>
        <v>25889.000000000007</v>
      </c>
      <c r="G98" s="4">
        <f t="shared" si="26"/>
        <v>2.0879620448823946E-16</v>
      </c>
      <c r="H98" s="4">
        <f t="shared" si="27"/>
        <v>2.1156274706275497E-4</v>
      </c>
      <c r="I98" s="4">
        <f t="shared" si="28"/>
        <v>4.4131152755075096</v>
      </c>
      <c r="J98">
        <f t="shared" si="29"/>
        <v>-3.6745608024658232</v>
      </c>
      <c r="K98">
        <f t="shared" si="30"/>
        <v>-0.58688472449249063</v>
      </c>
      <c r="L98">
        <f t="shared" si="30"/>
        <v>-1.4373503277880832</v>
      </c>
      <c r="N98">
        <f t="shared" si="31"/>
        <v>4.4131152755075096</v>
      </c>
      <c r="O98">
        <f t="shared" si="32"/>
        <v>-1.4373503277880832</v>
      </c>
    </row>
    <row r="99" spans="1:15">
      <c r="A99">
        <v>0.27850999999999998</v>
      </c>
      <c r="B99">
        <v>8.8441000000000006E-2</v>
      </c>
      <c r="C99">
        <f t="shared" si="22"/>
        <v>1.4740166666666667E-6</v>
      </c>
      <c r="D99">
        <f t="shared" si="23"/>
        <v>1.27851</v>
      </c>
      <c r="E99">
        <f t="shared" si="24"/>
        <v>0.27851000000000004</v>
      </c>
      <c r="F99">
        <f t="shared" si="25"/>
        <v>27851.000000000004</v>
      </c>
      <c r="G99" s="4">
        <f t="shared" si="26"/>
        <v>4.698952492925079E-16</v>
      </c>
      <c r="H99" s="4">
        <f t="shared" si="27"/>
        <v>4.7612134528844121E-4</v>
      </c>
      <c r="I99" s="4">
        <f t="shared" si="28"/>
        <v>4.4448407932865903</v>
      </c>
      <c r="J99">
        <f t="shared" si="29"/>
        <v>-3.322282347966397</v>
      </c>
      <c r="K99">
        <f t="shared" si="30"/>
        <v>-0.5551592067134099</v>
      </c>
      <c r="L99">
        <f t="shared" si="30"/>
        <v>-1.0533463555095763</v>
      </c>
      <c r="N99">
        <f t="shared" si="31"/>
        <v>4.4448407932865903</v>
      </c>
      <c r="O99">
        <f t="shared" si="32"/>
        <v>-1.0533463555095763</v>
      </c>
    </row>
    <row r="100" spans="1:15">
      <c r="A100">
        <v>0.29824000000000001</v>
      </c>
      <c r="B100">
        <v>0.16622999999999999</v>
      </c>
      <c r="C100">
        <f t="shared" si="22"/>
        <v>2.7705E-6</v>
      </c>
      <c r="D100">
        <f t="shared" si="23"/>
        <v>1.2982400000000001</v>
      </c>
      <c r="E100">
        <f t="shared" si="24"/>
        <v>0.29824000000000006</v>
      </c>
      <c r="F100">
        <f t="shared" si="25"/>
        <v>29824.000000000007</v>
      </c>
      <c r="G100" s="4">
        <f t="shared" si="26"/>
        <v>8.2476783813252039E-16</v>
      </c>
      <c r="H100" s="4">
        <f t="shared" si="27"/>
        <v>8.3569598380392918E-4</v>
      </c>
      <c r="I100" s="4">
        <f t="shared" si="28"/>
        <v>4.4745658906738877</v>
      </c>
      <c r="J100">
        <f t="shared" si="29"/>
        <v>-3.0779516849645518</v>
      </c>
      <c r="K100">
        <f t="shared" si="30"/>
        <v>-0.52543410932611267</v>
      </c>
      <c r="L100">
        <f t="shared" si="30"/>
        <v>-0.77929059512043375</v>
      </c>
      <c r="N100">
        <f t="shared" si="31"/>
        <v>4.4745658906738877</v>
      </c>
      <c r="O100">
        <f t="shared" si="32"/>
        <v>-0.77929059512043375</v>
      </c>
    </row>
    <row r="101" spans="1:15">
      <c r="A101">
        <v>0.31885999999999998</v>
      </c>
      <c r="B101">
        <v>0.28231000000000001</v>
      </c>
      <c r="C101">
        <f t="shared" si="22"/>
        <v>4.7051666666666669E-6</v>
      </c>
      <c r="D101">
        <f t="shared" si="23"/>
        <v>1.3188599999999999</v>
      </c>
      <c r="E101">
        <f t="shared" si="24"/>
        <v>0.31885999999999992</v>
      </c>
      <c r="F101">
        <f t="shared" si="25"/>
        <v>31885.999999999993</v>
      </c>
      <c r="G101" s="4">
        <f t="shared" si="26"/>
        <v>1.310130096171605E-15</v>
      </c>
      <c r="H101" s="4">
        <f t="shared" si="27"/>
        <v>1.3274892751763028E-3</v>
      </c>
      <c r="I101" s="4">
        <f t="shared" si="28"/>
        <v>4.503600041761465</v>
      </c>
      <c r="J101">
        <f t="shared" si="29"/>
        <v>-2.8769689789098201</v>
      </c>
      <c r="K101">
        <f t="shared" si="30"/>
        <v>-0.49639995823853517</v>
      </c>
      <c r="L101">
        <f t="shared" si="30"/>
        <v>-0.54927373797812451</v>
      </c>
      <c r="N101">
        <f t="shared" si="31"/>
        <v>4.503600041761465</v>
      </c>
      <c r="O101">
        <f t="shared" si="32"/>
        <v>-0.54927373797812451</v>
      </c>
    </row>
    <row r="102" spans="1:15">
      <c r="A102">
        <v>0.33809</v>
      </c>
      <c r="B102">
        <v>0.48074</v>
      </c>
      <c r="C102">
        <f t="shared" si="22"/>
        <v>8.0123333333333329E-6</v>
      </c>
      <c r="D102">
        <f t="shared" si="23"/>
        <v>1.33809</v>
      </c>
      <c r="E102">
        <f t="shared" si="24"/>
        <v>0.33809</v>
      </c>
      <c r="F102">
        <f t="shared" si="25"/>
        <v>33809</v>
      </c>
      <c r="G102" s="4">
        <f t="shared" si="26"/>
        <v>2.1040988391780253E-15</v>
      </c>
      <c r="H102" s="4">
        <f t="shared" si="27"/>
        <v>2.1319780768961731E-3</v>
      </c>
      <c r="I102" s="4">
        <f t="shared" si="28"/>
        <v>4.529032325426976</v>
      </c>
      <c r="J102">
        <f t="shared" si="29"/>
        <v>-2.6712172654672153</v>
      </c>
      <c r="K102">
        <f t="shared" si="30"/>
        <v>-0.47096767457302441</v>
      </c>
      <c r="L102">
        <f t="shared" si="30"/>
        <v>-0.31808974087000896</v>
      </c>
      <c r="N102">
        <f t="shared" si="31"/>
        <v>4.529032325426976</v>
      </c>
      <c r="O102">
        <f t="shared" si="32"/>
        <v>-0.31808974087000896</v>
      </c>
    </row>
    <row r="103" spans="1:15">
      <c r="A103">
        <v>0.35980000000000001</v>
      </c>
      <c r="B103">
        <v>0.74626000000000003</v>
      </c>
      <c r="C103">
        <f t="shared" si="22"/>
        <v>1.2437666666666668E-5</v>
      </c>
      <c r="D103">
        <f t="shared" si="23"/>
        <v>1.3597999999999999</v>
      </c>
      <c r="E103">
        <f t="shared" si="24"/>
        <v>0.3597999999999999</v>
      </c>
      <c r="F103">
        <f t="shared" si="25"/>
        <v>35979.999999999993</v>
      </c>
      <c r="G103" s="4">
        <f t="shared" si="26"/>
        <v>3.0691435931944131E-15</v>
      </c>
      <c r="H103" s="4">
        <f t="shared" si="27"/>
        <v>3.1098096409259085E-3</v>
      </c>
      <c r="I103" s="4">
        <f t="shared" si="28"/>
        <v>4.5560611590095323</v>
      </c>
      <c r="J103">
        <f t="shared" si="29"/>
        <v>-2.5072661943897803</v>
      </c>
      <c r="K103">
        <f t="shared" si="30"/>
        <v>-0.44393884099046743</v>
      </c>
      <c r="L103">
        <f t="shared" si="30"/>
        <v>-0.12710983621001726</v>
      </c>
      <c r="N103">
        <f t="shared" si="31"/>
        <v>4.5560611590095323</v>
      </c>
      <c r="O103">
        <f t="shared" si="32"/>
        <v>-0.12710983621001726</v>
      </c>
    </row>
    <row r="104" spans="1:15">
      <c r="A104">
        <v>0.37884000000000001</v>
      </c>
      <c r="B104">
        <v>1.0136000000000001</v>
      </c>
      <c r="C104">
        <f t="shared" si="22"/>
        <v>1.6893333333333333E-5</v>
      </c>
      <c r="D104">
        <f t="shared" si="23"/>
        <v>1.3788400000000001</v>
      </c>
      <c r="E104">
        <f t="shared" si="24"/>
        <v>0.37884000000000007</v>
      </c>
      <c r="F104">
        <f t="shared" si="25"/>
        <v>37884.000000000007</v>
      </c>
      <c r="G104" s="4">
        <f t="shared" si="26"/>
        <v>3.959122841363695E-15</v>
      </c>
      <c r="H104" s="4">
        <f t="shared" si="27"/>
        <v>4.0115810837211916E-3</v>
      </c>
      <c r="I104" s="4">
        <f t="shared" si="28"/>
        <v>4.578455827939842</v>
      </c>
      <c r="J104">
        <f t="shared" si="29"/>
        <v>-2.3966844252346879</v>
      </c>
      <c r="K104">
        <f t="shared" si="30"/>
        <v>-0.42154417206015782</v>
      </c>
      <c r="L104">
        <f t="shared" si="30"/>
        <v>5.8666018753849511E-3</v>
      </c>
      <c r="N104">
        <f t="shared" si="31"/>
        <v>4.578455827939842</v>
      </c>
      <c r="O104">
        <f t="shared" si="32"/>
        <v>5.8666018753849511E-3</v>
      </c>
    </row>
    <row r="105" spans="1:15">
      <c r="A105">
        <v>0.39818999999999999</v>
      </c>
      <c r="B105">
        <v>1.3829</v>
      </c>
      <c r="C105">
        <f t="shared" si="22"/>
        <v>2.3048333333333334E-5</v>
      </c>
      <c r="D105">
        <f t="shared" si="23"/>
        <v>1.39819</v>
      </c>
      <c r="E105">
        <f t="shared" si="24"/>
        <v>0.39819000000000004</v>
      </c>
      <c r="F105">
        <f t="shared" si="25"/>
        <v>39819.000000000007</v>
      </c>
      <c r="G105" s="4">
        <f t="shared" si="26"/>
        <v>5.1391184837331391E-15</v>
      </c>
      <c r="H105" s="4">
        <f t="shared" si="27"/>
        <v>5.2072116280293904E-3</v>
      </c>
      <c r="I105" s="4">
        <f t="shared" si="28"/>
        <v>4.60009034911341</v>
      </c>
      <c r="J105">
        <f t="shared" si="29"/>
        <v>-2.2833947716583376</v>
      </c>
      <c r="K105">
        <f t="shared" si="30"/>
        <v>-0.39990965088659058</v>
      </c>
      <c r="L105">
        <f t="shared" si="30"/>
        <v>0.14079077662530232</v>
      </c>
      <c r="N105">
        <f t="shared" si="31"/>
        <v>4.60009034911341</v>
      </c>
      <c r="O105">
        <f t="shared" si="32"/>
        <v>0.14079077662530232</v>
      </c>
    </row>
    <row r="106" spans="1:15">
      <c r="A106">
        <v>0.41798000000000002</v>
      </c>
      <c r="B106">
        <v>1.7921</v>
      </c>
      <c r="C106">
        <f t="shared" si="22"/>
        <v>2.9868333333333333E-5</v>
      </c>
      <c r="D106">
        <f t="shared" si="23"/>
        <v>1.41798</v>
      </c>
      <c r="E106">
        <f t="shared" si="24"/>
        <v>0.41798000000000002</v>
      </c>
      <c r="F106">
        <f t="shared" si="25"/>
        <v>41798</v>
      </c>
      <c r="G106" s="4">
        <f t="shared" si="26"/>
        <v>6.3444640558436014E-15</v>
      </c>
      <c r="H106" s="4">
        <f t="shared" si="27"/>
        <v>6.4285279877814225E-3</v>
      </c>
      <c r="I106" s="4">
        <f t="shared" si="28"/>
        <v>4.6211555016376167</v>
      </c>
      <c r="J106">
        <f t="shared" si="29"/>
        <v>-2.1918884609747784</v>
      </c>
      <c r="K106">
        <f t="shared" si="30"/>
        <v>-0.37884449836238365</v>
      </c>
      <c r="L106">
        <f t="shared" si="30"/>
        <v>0.2533622398330686</v>
      </c>
      <c r="N106">
        <f t="shared" si="31"/>
        <v>4.6211555016376167</v>
      </c>
      <c r="O106">
        <f t="shared" si="32"/>
        <v>0.2533622398330686</v>
      </c>
    </row>
    <row r="107" spans="1:15">
      <c r="A107">
        <v>0.43857000000000002</v>
      </c>
      <c r="B107">
        <v>2.2601</v>
      </c>
      <c r="C107">
        <f t="shared" si="22"/>
        <v>3.7668333333333333E-5</v>
      </c>
      <c r="D107">
        <f t="shared" si="23"/>
        <v>1.4385699999999999</v>
      </c>
      <c r="E107">
        <f t="shared" si="24"/>
        <v>0.4385699999999999</v>
      </c>
      <c r="F107">
        <f t="shared" si="25"/>
        <v>43856.999999999993</v>
      </c>
      <c r="G107" s="4">
        <f t="shared" si="26"/>
        <v>7.6256512162679891E-15</v>
      </c>
      <c r="H107" s="4">
        <f t="shared" si="27"/>
        <v>7.726690834300891E-3</v>
      </c>
      <c r="I107" s="4">
        <f t="shared" si="28"/>
        <v>4.6420389208206192</v>
      </c>
      <c r="J107">
        <f t="shared" si="29"/>
        <v>-2.1120064646985863</v>
      </c>
      <c r="K107">
        <f t="shared" si="30"/>
        <v>-0.35796107917938053</v>
      </c>
      <c r="L107">
        <f t="shared" si="30"/>
        <v>0.35412765529226381</v>
      </c>
      <c r="N107">
        <f t="shared" si="31"/>
        <v>4.6420389208206192</v>
      </c>
      <c r="O107">
        <f t="shared" si="32"/>
        <v>0.35412765529226381</v>
      </c>
    </row>
    <row r="108" spans="1:15">
      <c r="A108">
        <v>0.45767000000000002</v>
      </c>
      <c r="B108">
        <v>2.8437999999999999</v>
      </c>
      <c r="C108" s="1">
        <f t="shared" si="22"/>
        <v>4.7396666666666666E-5</v>
      </c>
      <c r="D108" s="1">
        <f t="shared" si="23"/>
        <v>1.45767</v>
      </c>
      <c r="E108" s="1">
        <f t="shared" si="24"/>
        <v>0.45767000000000002</v>
      </c>
      <c r="F108" s="1">
        <f t="shared" si="25"/>
        <v>45767</v>
      </c>
      <c r="G108" s="1">
        <f>(0.00001781*0.000134*C108)/(0.0002688*F108)</f>
        <v>9.1946416400133763E-15</v>
      </c>
      <c r="H108" s="1">
        <f>G108/(0.0000000000009869233)</f>
        <v>9.3164703275455917E-3</v>
      </c>
      <c r="I108" s="1">
        <f>LOG(F108)</f>
        <v>4.6605524456117786</v>
      </c>
      <c r="J108" s="1">
        <f>LOG(H108)</f>
        <v>-2.0307485949010151</v>
      </c>
      <c r="K108" s="1">
        <f t="shared" si="30"/>
        <v>-0.33944755438822155</v>
      </c>
      <c r="L108" s="1">
        <f t="shared" si="30"/>
        <v>0.45389904988099378</v>
      </c>
      <c r="M108">
        <f>G108/G28</f>
        <v>0.13786050089426324</v>
      </c>
      <c r="N108">
        <f t="shared" si="31"/>
        <v>4.6605524456117786</v>
      </c>
      <c r="O108">
        <f t="shared" si="32"/>
        <v>0.45389904988099378</v>
      </c>
    </row>
    <row r="109" spans="1:15">
      <c r="A109">
        <v>0.47887999999999997</v>
      </c>
      <c r="B109">
        <v>3.5691000000000002</v>
      </c>
      <c r="C109">
        <f t="shared" si="22"/>
        <v>5.9485000000000004E-5</v>
      </c>
      <c r="D109">
        <f t="shared" si="23"/>
        <v>1.47888</v>
      </c>
      <c r="E109">
        <f t="shared" si="24"/>
        <v>0.47887999999999997</v>
      </c>
      <c r="F109">
        <f t="shared" si="25"/>
        <v>47888</v>
      </c>
      <c r="G109" s="4">
        <f t="shared" ref="G109:G160" si="33">(0.00001781*0.000134*C109)/(0.0002688*F109)</f>
        <v>1.1028595795633762E-14</v>
      </c>
      <c r="H109" s="4">
        <f t="shared" ref="H109:H160" si="34">G109/(0.0000000000009869233)</f>
        <v>1.1174724313058331E-2</v>
      </c>
      <c r="I109" s="4">
        <f t="shared" ref="I109:I160" si="35">LOG(F109)</f>
        <v>4.6802266994961164</v>
      </c>
      <c r="J109">
        <f t="shared" ref="J109:J160" si="36">LOG(H109)</f>
        <v>-1.9517631823610715</v>
      </c>
      <c r="K109">
        <f t="shared" si="30"/>
        <v>-0.31977330050388386</v>
      </c>
      <c r="L109">
        <f t="shared" si="30"/>
        <v>0.55255871630527542</v>
      </c>
      <c r="M109">
        <f t="shared" ref="M109:M160" si="37">G109/G29</f>
        <v>0.16423734435692725</v>
      </c>
      <c r="N109">
        <f t="shared" si="31"/>
        <v>4.6802266994961164</v>
      </c>
      <c r="O109">
        <f t="shared" si="32"/>
        <v>0.55255871630527542</v>
      </c>
    </row>
    <row r="110" spans="1:15">
      <c r="A110">
        <v>0.49826999999999999</v>
      </c>
      <c r="B110">
        <v>4.3887</v>
      </c>
      <c r="C110">
        <f t="shared" si="22"/>
        <v>7.3145000000000005E-5</v>
      </c>
      <c r="D110">
        <f t="shared" si="23"/>
        <v>1.49827</v>
      </c>
      <c r="E110">
        <f t="shared" si="24"/>
        <v>0.49826999999999999</v>
      </c>
      <c r="F110">
        <f t="shared" si="25"/>
        <v>49827</v>
      </c>
      <c r="G110" s="4">
        <f t="shared" si="33"/>
        <v>1.3033449029773975E-14</v>
      </c>
      <c r="H110" s="4">
        <f t="shared" si="34"/>
        <v>1.3206141784041349E-2</v>
      </c>
      <c r="I110" s="4">
        <f t="shared" si="35"/>
        <v>4.6974647398167093</v>
      </c>
      <c r="J110">
        <f t="shared" si="36"/>
        <v>-1.8792240443569481</v>
      </c>
      <c r="K110">
        <f t="shared" si="30"/>
        <v>-0.30253526018329058</v>
      </c>
      <c r="L110">
        <f t="shared" si="30"/>
        <v>0.64233589462999174</v>
      </c>
      <c r="M110">
        <f t="shared" si="37"/>
        <v>0.19280667946706007</v>
      </c>
      <c r="N110">
        <f t="shared" si="31"/>
        <v>4.6974647398167093</v>
      </c>
      <c r="O110">
        <f t="shared" si="32"/>
        <v>0.64233589462999174</v>
      </c>
    </row>
    <row r="111" spans="1:15">
      <c r="A111">
        <v>0.51844000000000001</v>
      </c>
      <c r="B111">
        <v>5.1369999999999996</v>
      </c>
      <c r="C111">
        <f t="shared" si="22"/>
        <v>8.5616666666666656E-5</v>
      </c>
      <c r="D111">
        <f t="shared" si="23"/>
        <v>1.51844</v>
      </c>
      <c r="E111">
        <f t="shared" si="24"/>
        <v>0.51844000000000001</v>
      </c>
      <c r="F111">
        <f t="shared" si="25"/>
        <v>51844</v>
      </c>
      <c r="G111" s="4">
        <f t="shared" si="33"/>
        <v>1.4662204308859118E-14</v>
      </c>
      <c r="H111" s="4">
        <f t="shared" si="34"/>
        <v>1.4856478014916779E-2</v>
      </c>
      <c r="I111" s="4">
        <f t="shared" si="35"/>
        <v>4.7146985019464545</v>
      </c>
      <c r="J111">
        <f t="shared" si="36"/>
        <v>-1.8280841353923483</v>
      </c>
      <c r="K111">
        <f t="shared" si="30"/>
        <v>-0.2853014980535451</v>
      </c>
      <c r="L111">
        <f t="shared" si="30"/>
        <v>0.71070956572433719</v>
      </c>
      <c r="M111">
        <f t="shared" si="37"/>
        <v>0.21687411238547882</v>
      </c>
      <c r="N111">
        <f t="shared" si="31"/>
        <v>4.7146985019464545</v>
      </c>
      <c r="O111">
        <f t="shared" si="32"/>
        <v>0.71070956572433719</v>
      </c>
    </row>
    <row r="112" spans="1:15">
      <c r="A112">
        <v>0.53790000000000004</v>
      </c>
      <c r="B112">
        <v>5.9070999999999998</v>
      </c>
      <c r="C112">
        <f t="shared" si="22"/>
        <v>9.8451666666666665E-5</v>
      </c>
      <c r="D112">
        <f t="shared" si="23"/>
        <v>1.5379</v>
      </c>
      <c r="E112">
        <f t="shared" si="24"/>
        <v>0.53790000000000004</v>
      </c>
      <c r="F112">
        <f t="shared" si="25"/>
        <v>53790.000000000007</v>
      </c>
      <c r="G112" s="4">
        <f t="shared" si="33"/>
        <v>1.6250284987713093E-14</v>
      </c>
      <c r="H112" s="4">
        <f t="shared" si="34"/>
        <v>1.6465600708497907E-2</v>
      </c>
      <c r="I112" s="4">
        <f t="shared" si="35"/>
        <v>4.7307015442818452</v>
      </c>
      <c r="J112">
        <f t="shared" si="36"/>
        <v>-1.7834224204560551</v>
      </c>
      <c r="K112">
        <f t="shared" si="30"/>
        <v>-0.26929845571815469</v>
      </c>
      <c r="L112">
        <f t="shared" si="30"/>
        <v>0.77137432299602071</v>
      </c>
      <c r="M112">
        <f t="shared" si="37"/>
        <v>0.23758490778985122</v>
      </c>
      <c r="N112">
        <f t="shared" si="31"/>
        <v>4.7307015442818452</v>
      </c>
      <c r="O112">
        <f t="shared" si="32"/>
        <v>0.77137432299602071</v>
      </c>
    </row>
    <row r="113" spans="1:15">
      <c r="A113">
        <v>0.55745999999999996</v>
      </c>
      <c r="B113">
        <v>6.6817000000000002</v>
      </c>
      <c r="C113">
        <f t="shared" si="22"/>
        <v>1.1136166666666667E-4</v>
      </c>
      <c r="D113">
        <f t="shared" si="23"/>
        <v>1.5574599999999998</v>
      </c>
      <c r="E113">
        <f t="shared" si="24"/>
        <v>0.55745999999999984</v>
      </c>
      <c r="F113">
        <f t="shared" si="25"/>
        <v>55745.999999999985</v>
      </c>
      <c r="G113" s="4">
        <f t="shared" si="33"/>
        <v>1.7736236251326889E-14</v>
      </c>
      <c r="H113" s="4">
        <f t="shared" si="34"/>
        <v>1.7971240775576873E-2</v>
      </c>
      <c r="I113" s="4">
        <f t="shared" si="35"/>
        <v>4.7462137104600925</v>
      </c>
      <c r="J113">
        <f t="shared" si="36"/>
        <v>-1.7454219371712847</v>
      </c>
      <c r="K113">
        <f t="shared" si="30"/>
        <v>-0.25378628953990717</v>
      </c>
      <c r="L113">
        <f t="shared" si="30"/>
        <v>0.82488697245903864</v>
      </c>
      <c r="M113">
        <f t="shared" si="37"/>
        <v>0.25742777874774503</v>
      </c>
      <c r="N113">
        <f t="shared" si="31"/>
        <v>4.7462137104600925</v>
      </c>
      <c r="O113">
        <f t="shared" si="32"/>
        <v>0.82488697245903864</v>
      </c>
    </row>
    <row r="114" spans="1:15">
      <c r="A114">
        <v>0.5766</v>
      </c>
      <c r="B114">
        <v>7.5701999999999998</v>
      </c>
      <c r="C114">
        <f t="shared" si="22"/>
        <v>1.2616999999999999E-4</v>
      </c>
      <c r="D114">
        <f t="shared" si="23"/>
        <v>1.5766</v>
      </c>
      <c r="E114">
        <f t="shared" si="24"/>
        <v>0.5766</v>
      </c>
      <c r="F114">
        <f t="shared" si="25"/>
        <v>57660</v>
      </c>
      <c r="G114" s="4">
        <f t="shared" si="33"/>
        <v>1.9427678971454176E-14</v>
      </c>
      <c r="H114" s="4">
        <f t="shared" si="34"/>
        <v>1.9685095053946111E-2</v>
      </c>
      <c r="I114" s="4">
        <f t="shared" si="35"/>
        <v>4.7608746380521891</v>
      </c>
      <c r="J114">
        <f t="shared" si="36"/>
        <v>-1.7058624837792833</v>
      </c>
      <c r="K114">
        <f t="shared" si="30"/>
        <v>-0.239125361947811</v>
      </c>
      <c r="L114">
        <f t="shared" si="30"/>
        <v>0.87910735344313629</v>
      </c>
      <c r="M114">
        <f t="shared" si="37"/>
        <v>0.28123407480307883</v>
      </c>
      <c r="N114">
        <f t="shared" si="31"/>
        <v>4.7608746380521891</v>
      </c>
      <c r="O114">
        <f t="shared" si="32"/>
        <v>0.87910735344313629</v>
      </c>
    </row>
    <row r="115" spans="1:15">
      <c r="A115">
        <v>0.59641</v>
      </c>
      <c r="B115">
        <v>8.4702000000000002</v>
      </c>
      <c r="C115">
        <f t="shared" si="22"/>
        <v>1.4117000000000001E-4</v>
      </c>
      <c r="D115">
        <f t="shared" si="23"/>
        <v>1.5964100000000001</v>
      </c>
      <c r="E115">
        <f t="shared" si="24"/>
        <v>0.59641000000000011</v>
      </c>
      <c r="F115">
        <f t="shared" si="25"/>
        <v>59641.000000000007</v>
      </c>
      <c r="G115" s="4">
        <f t="shared" si="33"/>
        <v>2.1015365685538314E-14</v>
      </c>
      <c r="H115" s="4">
        <f t="shared" si="34"/>
        <v>2.1293818562737665E-2</v>
      </c>
      <c r="I115" s="4">
        <f t="shared" si="35"/>
        <v>4.7755449166528718</v>
      </c>
      <c r="J115">
        <f t="shared" si="36"/>
        <v>-1.6717464507260542</v>
      </c>
      <c r="K115">
        <f t="shared" si="30"/>
        <v>-0.2244550833471286</v>
      </c>
      <c r="L115">
        <f t="shared" si="30"/>
        <v>0.92789366509704785</v>
      </c>
      <c r="M115">
        <f t="shared" si="37"/>
        <v>0.30294433411863603</v>
      </c>
      <c r="N115">
        <f t="shared" si="31"/>
        <v>4.7755449166528718</v>
      </c>
      <c r="O115">
        <f t="shared" si="32"/>
        <v>0.92789366509704785</v>
      </c>
    </row>
    <row r="116" spans="1:15">
      <c r="A116">
        <v>0.61480999999999997</v>
      </c>
      <c r="B116">
        <v>9.3773</v>
      </c>
      <c r="C116">
        <f t="shared" si="22"/>
        <v>1.5628833333333333E-4</v>
      </c>
      <c r="D116">
        <f t="shared" si="23"/>
        <v>1.6148099999999999</v>
      </c>
      <c r="E116">
        <f t="shared" si="24"/>
        <v>0.61480999999999986</v>
      </c>
      <c r="F116">
        <f t="shared" si="25"/>
        <v>61480.999999999985</v>
      </c>
      <c r="G116" s="4">
        <f t="shared" si="33"/>
        <v>2.2569663836895163E-14</v>
      </c>
      <c r="H116" s="4">
        <f t="shared" si="34"/>
        <v>2.286871111148674E-2</v>
      </c>
      <c r="I116" s="4">
        <f t="shared" si="35"/>
        <v>4.7887409227663857</v>
      </c>
      <c r="J116">
        <f t="shared" si="36"/>
        <v>-1.6407583116915836</v>
      </c>
      <c r="K116">
        <f t="shared" si="30"/>
        <v>-0.21125907723361417</v>
      </c>
      <c r="L116">
        <f t="shared" si="30"/>
        <v>0.97207781024503259</v>
      </c>
      <c r="M116">
        <f t="shared" si="37"/>
        <v>0.32389359863851469</v>
      </c>
      <c r="N116">
        <f t="shared" si="31"/>
        <v>4.7887409227663857</v>
      </c>
      <c r="O116">
        <f t="shared" si="32"/>
        <v>0.97207781024503259</v>
      </c>
    </row>
    <row r="117" spans="1:15">
      <c r="A117">
        <v>0.63721000000000005</v>
      </c>
      <c r="B117">
        <v>10.301</v>
      </c>
      <c r="C117">
        <f t="shared" si="22"/>
        <v>1.7168333333333332E-4</v>
      </c>
      <c r="D117">
        <f t="shared" si="23"/>
        <v>1.6372100000000001</v>
      </c>
      <c r="E117">
        <f t="shared" si="24"/>
        <v>0.63721000000000005</v>
      </c>
      <c r="F117">
        <f t="shared" si="25"/>
        <v>63721.000000000007</v>
      </c>
      <c r="G117" s="4">
        <f t="shared" si="33"/>
        <v>2.3921312660468269E-14</v>
      </c>
      <c r="H117" s="4">
        <f t="shared" si="34"/>
        <v>2.423826923578384E-2</v>
      </c>
      <c r="I117" s="4">
        <f t="shared" si="35"/>
        <v>4.8042825827454481</v>
      </c>
      <c r="J117">
        <f t="shared" si="36"/>
        <v>-1.6154983947443891</v>
      </c>
      <c r="K117">
        <f t="shared" si="30"/>
        <v>-0.19571741725455163</v>
      </c>
      <c r="L117">
        <f t="shared" si="30"/>
        <v>1.0128793871712898</v>
      </c>
      <c r="M117">
        <f t="shared" si="37"/>
        <v>0.34078528556622389</v>
      </c>
      <c r="N117">
        <f t="shared" si="31"/>
        <v>4.8042825827454481</v>
      </c>
      <c r="O117">
        <f t="shared" si="32"/>
        <v>1.0128793871712898</v>
      </c>
    </row>
    <row r="118" spans="1:15">
      <c r="A118">
        <v>0.65634999999999999</v>
      </c>
      <c r="B118">
        <v>11.148999999999999</v>
      </c>
      <c r="C118">
        <f t="shared" si="22"/>
        <v>1.8581666666666664E-4</v>
      </c>
      <c r="D118">
        <f t="shared" si="23"/>
        <v>1.65635</v>
      </c>
      <c r="E118">
        <f t="shared" si="24"/>
        <v>0.65634999999999999</v>
      </c>
      <c r="F118">
        <f t="shared" si="25"/>
        <v>65635</v>
      </c>
      <c r="G118" s="4">
        <f t="shared" si="33"/>
        <v>2.513556367752276E-14</v>
      </c>
      <c r="H118" s="4">
        <f t="shared" si="34"/>
        <v>2.5468609037321094E-2</v>
      </c>
      <c r="I118" s="4">
        <f t="shared" si="35"/>
        <v>4.8171354895791429</v>
      </c>
      <c r="J118">
        <f t="shared" si="36"/>
        <v>-1.5939947732896922</v>
      </c>
      <c r="K118">
        <f t="shared" si="30"/>
        <v>-0.18286451042085744</v>
      </c>
      <c r="L118">
        <f t="shared" si="30"/>
        <v>1.0472359154596811</v>
      </c>
      <c r="M118">
        <f t="shared" si="37"/>
        <v>0.35602285868333738</v>
      </c>
      <c r="N118">
        <f t="shared" si="31"/>
        <v>4.8171354895791429</v>
      </c>
      <c r="O118">
        <f t="shared" si="32"/>
        <v>1.0472359154596811</v>
      </c>
    </row>
    <row r="119" spans="1:15">
      <c r="A119">
        <v>0.67700000000000005</v>
      </c>
      <c r="B119">
        <v>12.178000000000001</v>
      </c>
      <c r="C119">
        <f t="shared" si="22"/>
        <v>2.0296666666666668E-4</v>
      </c>
      <c r="D119">
        <f t="shared" si="23"/>
        <v>1.677</v>
      </c>
      <c r="E119">
        <f t="shared" si="24"/>
        <v>0.67700000000000005</v>
      </c>
      <c r="F119">
        <f t="shared" si="25"/>
        <v>67700</v>
      </c>
      <c r="G119" s="4">
        <f t="shared" si="33"/>
        <v>2.661800510978641E-14</v>
      </c>
      <c r="H119" s="4">
        <f t="shared" si="34"/>
        <v>2.6970692767904463E-2</v>
      </c>
      <c r="I119" s="4">
        <f t="shared" si="35"/>
        <v>4.8305886686851442</v>
      </c>
      <c r="J119">
        <f t="shared" si="36"/>
        <v>-1.5691078981368711</v>
      </c>
      <c r="K119">
        <f t="shared" si="30"/>
        <v>-0.16941133131485567</v>
      </c>
      <c r="L119">
        <f t="shared" si="30"/>
        <v>1.0855759697185039</v>
      </c>
      <c r="M119">
        <f t="shared" si="37"/>
        <v>0.37518765013761501</v>
      </c>
      <c r="N119">
        <f t="shared" si="31"/>
        <v>4.8305886686851442</v>
      </c>
      <c r="O119">
        <f t="shared" si="32"/>
        <v>1.0855759697185039</v>
      </c>
    </row>
    <row r="120" spans="1:15">
      <c r="A120">
        <v>0.69564000000000004</v>
      </c>
      <c r="B120">
        <v>13.061</v>
      </c>
      <c r="C120">
        <f t="shared" si="22"/>
        <v>2.1768333333333333E-4</v>
      </c>
      <c r="D120">
        <f t="shared" si="23"/>
        <v>1.69564</v>
      </c>
      <c r="E120">
        <f t="shared" si="24"/>
        <v>0.69564000000000004</v>
      </c>
      <c r="F120">
        <f t="shared" si="25"/>
        <v>69564</v>
      </c>
      <c r="G120" s="4">
        <f t="shared" si="33"/>
        <v>2.7783060593596359E-14</v>
      </c>
      <c r="H120" s="4">
        <f t="shared" si="34"/>
        <v>2.8151185197062788E-2</v>
      </c>
      <c r="I120" s="4">
        <f t="shared" si="35"/>
        <v>4.8423845464183968</v>
      </c>
      <c r="J120">
        <f t="shared" si="36"/>
        <v>-1.5505033161338093</v>
      </c>
      <c r="K120">
        <f t="shared" si="30"/>
        <v>-0.1576154535816035</v>
      </c>
      <c r="L120">
        <f t="shared" si="30"/>
        <v>1.1159764294548176</v>
      </c>
      <c r="M120">
        <f t="shared" si="37"/>
        <v>0.39091018697485996</v>
      </c>
      <c r="N120">
        <f t="shared" si="31"/>
        <v>4.8423845464183968</v>
      </c>
      <c r="O120">
        <f t="shared" si="32"/>
        <v>1.1159764294548176</v>
      </c>
    </row>
    <row r="121" spans="1:15">
      <c r="A121">
        <v>0.71628000000000003</v>
      </c>
      <c r="B121">
        <v>14.141</v>
      </c>
      <c r="C121">
        <f t="shared" si="22"/>
        <v>2.3568333333333333E-4</v>
      </c>
      <c r="D121">
        <f t="shared" si="23"/>
        <v>1.71628</v>
      </c>
      <c r="E121">
        <f t="shared" si="24"/>
        <v>0.71628000000000003</v>
      </c>
      <c r="F121">
        <f t="shared" si="25"/>
        <v>71628</v>
      </c>
      <c r="G121" s="4">
        <f t="shared" si="33"/>
        <v>2.9213628379425762E-14</v>
      </c>
      <c r="H121" s="4">
        <f t="shared" si="34"/>
        <v>2.9600707957169275E-2</v>
      </c>
      <c r="I121" s="4">
        <f t="shared" si="35"/>
        <v>4.8550828249392994</v>
      </c>
      <c r="J121">
        <f t="shared" si="36"/>
        <v>-1.5286979018391951</v>
      </c>
      <c r="K121">
        <f t="shared" si="30"/>
        <v>-0.14491717506070081</v>
      </c>
      <c r="L121">
        <f t="shared" si="30"/>
        <v>1.1504801222703347</v>
      </c>
      <c r="M121">
        <f t="shared" si="37"/>
        <v>0.40853050265650687</v>
      </c>
      <c r="N121">
        <f t="shared" si="31"/>
        <v>4.8550828249392994</v>
      </c>
      <c r="O121">
        <f t="shared" si="32"/>
        <v>1.1504801222703347</v>
      </c>
    </row>
    <row r="122" spans="1:15">
      <c r="A122">
        <v>0.73556999999999995</v>
      </c>
      <c r="B122">
        <v>15.183999999999999</v>
      </c>
      <c r="C122">
        <f t="shared" si="22"/>
        <v>2.5306666666666667E-4</v>
      </c>
      <c r="D122">
        <f t="shared" si="23"/>
        <v>1.7355700000000001</v>
      </c>
      <c r="E122">
        <f t="shared" si="24"/>
        <v>0.73557000000000006</v>
      </c>
      <c r="F122">
        <f t="shared" si="25"/>
        <v>73557</v>
      </c>
      <c r="G122" s="4">
        <f t="shared" si="33"/>
        <v>3.0545721642065301E-14</v>
      </c>
      <c r="H122" s="4">
        <f t="shared" si="34"/>
        <v>3.0950451410018689E-2</v>
      </c>
      <c r="I122" s="4">
        <f t="shared" si="35"/>
        <v>4.8666240083581256</v>
      </c>
      <c r="J122">
        <f t="shared" si="36"/>
        <v>-1.5093330124451383</v>
      </c>
      <c r="K122">
        <f t="shared" si="30"/>
        <v>-0.13337599164187483</v>
      </c>
      <c r="L122">
        <f t="shared" si="30"/>
        <v>1.1813861950832174</v>
      </c>
      <c r="M122">
        <f t="shared" si="37"/>
        <v>0.42413061207131608</v>
      </c>
      <c r="N122">
        <f t="shared" si="31"/>
        <v>4.8666240083581256</v>
      </c>
      <c r="O122">
        <f t="shared" si="32"/>
        <v>1.1813861950832174</v>
      </c>
    </row>
    <row r="123" spans="1:15">
      <c r="A123">
        <v>0.75588999999999995</v>
      </c>
      <c r="B123">
        <v>16.414000000000001</v>
      </c>
      <c r="C123">
        <f t="shared" si="22"/>
        <v>2.7356666666666668E-4</v>
      </c>
      <c r="D123">
        <f t="shared" si="23"/>
        <v>1.75589</v>
      </c>
      <c r="E123">
        <f t="shared" si="24"/>
        <v>0.75588999999999995</v>
      </c>
      <c r="F123">
        <f t="shared" si="25"/>
        <v>75589</v>
      </c>
      <c r="G123" s="4">
        <f t="shared" si="33"/>
        <v>3.2132464192058275E-14</v>
      </c>
      <c r="H123" s="4">
        <f t="shared" si="34"/>
        <v>3.2558218244577136E-2</v>
      </c>
      <c r="I123" s="1">
        <f t="shared" si="35"/>
        <v>4.8784585999074883</v>
      </c>
      <c r="J123" s="1">
        <f t="shared" si="36"/>
        <v>-1.4873393699904909</v>
      </c>
      <c r="K123">
        <f t="shared" si="30"/>
        <v>-0.12154140009251216</v>
      </c>
      <c r="L123">
        <f t="shared" si="30"/>
        <v>1.2152144290872275</v>
      </c>
      <c r="M123">
        <f t="shared" si="37"/>
        <v>0.44221858311279072</v>
      </c>
      <c r="N123">
        <f t="shared" si="31"/>
        <v>4.8784585999074883</v>
      </c>
      <c r="O123">
        <f t="shared" si="32"/>
        <v>1.2152144290872275</v>
      </c>
    </row>
    <row r="124" spans="1:15">
      <c r="A124">
        <v>0.77510999999999997</v>
      </c>
      <c r="B124">
        <v>17.314</v>
      </c>
      <c r="C124">
        <f t="shared" si="22"/>
        <v>2.8856666666666667E-4</v>
      </c>
      <c r="D124">
        <f t="shared" si="23"/>
        <v>1.77511</v>
      </c>
      <c r="E124">
        <f t="shared" si="24"/>
        <v>0.77510999999999997</v>
      </c>
      <c r="F124">
        <f t="shared" si="25"/>
        <v>77511</v>
      </c>
      <c r="G124" s="4">
        <f t="shared" si="33"/>
        <v>3.3053867079132455E-14</v>
      </c>
      <c r="H124" s="4">
        <f t="shared" si="34"/>
        <v>3.3491829688419003E-2</v>
      </c>
      <c r="I124" s="4">
        <f t="shared" si="35"/>
        <v>4.8893633399295764</v>
      </c>
      <c r="J124">
        <f t="shared" si="36"/>
        <v>-1.4750611259185362</v>
      </c>
      <c r="K124">
        <f t="shared" si="30"/>
        <v>-0.11063666007042358</v>
      </c>
      <c r="L124">
        <f t="shared" si="30"/>
        <v>1.2383974131812707</v>
      </c>
      <c r="M124">
        <f t="shared" si="37"/>
        <v>0.45293863018217889</v>
      </c>
      <c r="N124">
        <f t="shared" si="31"/>
        <v>4.8893633399295764</v>
      </c>
      <c r="O124">
        <f t="shared" si="32"/>
        <v>1.2383974131812707</v>
      </c>
    </row>
    <row r="125" spans="1:15">
      <c r="A125">
        <v>0.79493000000000003</v>
      </c>
      <c r="B125">
        <v>18.404</v>
      </c>
      <c r="C125">
        <f t="shared" si="22"/>
        <v>3.0673333333333333E-4</v>
      </c>
      <c r="D125">
        <f t="shared" si="23"/>
        <v>1.7949299999999999</v>
      </c>
      <c r="E125">
        <f t="shared" si="24"/>
        <v>0.79492999999999991</v>
      </c>
      <c r="F125">
        <f t="shared" si="25"/>
        <v>79492.999999999985</v>
      </c>
      <c r="G125" s="4">
        <f t="shared" si="33"/>
        <v>3.4258752180735103E-14</v>
      </c>
      <c r="H125" s="4">
        <f t="shared" si="34"/>
        <v>3.4712679476444727E-2</v>
      </c>
      <c r="I125" s="4">
        <f t="shared" si="35"/>
        <v>4.9003288872071575</v>
      </c>
      <c r="J125">
        <f t="shared" si="36"/>
        <v>-1.4595118617846294</v>
      </c>
      <c r="K125">
        <f t="shared" si="30"/>
        <v>-9.9671112792842395E-2</v>
      </c>
      <c r="L125">
        <f t="shared" si="30"/>
        <v>1.2649122245927586</v>
      </c>
      <c r="M125">
        <f t="shared" si="37"/>
        <v>0.46605786310290487</v>
      </c>
      <c r="N125">
        <f t="shared" si="31"/>
        <v>4.9003288872071575</v>
      </c>
      <c r="O125">
        <f t="shared" si="32"/>
        <v>1.2649122245927586</v>
      </c>
    </row>
    <row r="126" spans="1:15">
      <c r="A126">
        <v>0.81557000000000002</v>
      </c>
      <c r="B126">
        <v>19.811</v>
      </c>
      <c r="C126">
        <f t="shared" si="22"/>
        <v>3.3018333333333333E-4</v>
      </c>
      <c r="D126">
        <f t="shared" si="23"/>
        <v>1.8155700000000001</v>
      </c>
      <c r="E126">
        <f t="shared" si="24"/>
        <v>0.81557000000000013</v>
      </c>
      <c r="F126">
        <f t="shared" si="25"/>
        <v>81557.000000000015</v>
      </c>
      <c r="G126" s="4">
        <f t="shared" si="33"/>
        <v>3.5944575478640798E-14</v>
      </c>
      <c r="H126" s="4">
        <f t="shared" si="34"/>
        <v>3.642083987543996E-2</v>
      </c>
      <c r="I126" s="4">
        <f t="shared" si="35"/>
        <v>4.9114612422727513</v>
      </c>
      <c r="J126">
        <f t="shared" si="36"/>
        <v>-1.4386500434652238</v>
      </c>
      <c r="K126">
        <f t="shared" si="30"/>
        <v>-8.853875772724859E-2</v>
      </c>
      <c r="L126">
        <f t="shared" si="30"/>
        <v>1.2969063979777584</v>
      </c>
      <c r="M126">
        <f t="shared" si="37"/>
        <v>0.48730202095417396</v>
      </c>
      <c r="N126">
        <f t="shared" si="31"/>
        <v>4.9114612422727513</v>
      </c>
      <c r="O126">
        <f t="shared" si="32"/>
        <v>1.2969063979777584</v>
      </c>
    </row>
    <row r="127" spans="1:15">
      <c r="A127">
        <v>0.83514999999999995</v>
      </c>
      <c r="B127">
        <v>20.984999999999999</v>
      </c>
      <c r="C127">
        <f t="shared" si="22"/>
        <v>3.4975000000000002E-4</v>
      </c>
      <c r="D127">
        <f t="shared" si="23"/>
        <v>1.8351500000000001</v>
      </c>
      <c r="E127">
        <f t="shared" si="24"/>
        <v>0.83515000000000006</v>
      </c>
      <c r="F127">
        <f t="shared" si="25"/>
        <v>83515</v>
      </c>
      <c r="G127" s="4">
        <f t="shared" si="33"/>
        <v>3.7181995259263383E-14</v>
      </c>
      <c r="H127" s="4">
        <f t="shared" si="34"/>
        <v>3.7674655425870868E-2</v>
      </c>
      <c r="I127" s="4">
        <f t="shared" si="35"/>
        <v>4.9217644854497253</v>
      </c>
      <c r="J127">
        <f t="shared" si="36"/>
        <v>-1.4239507110724474</v>
      </c>
      <c r="K127">
        <f t="shared" si="30"/>
        <v>-7.8235514550274374E-2</v>
      </c>
      <c r="L127">
        <f t="shared" si="30"/>
        <v>1.3219089735475089</v>
      </c>
      <c r="M127">
        <f t="shared" si="37"/>
        <v>0.50108695062046871</v>
      </c>
      <c r="N127">
        <f t="shared" si="31"/>
        <v>4.9217644854497253</v>
      </c>
      <c r="O127">
        <f t="shared" si="32"/>
        <v>1.3219089735475089</v>
      </c>
    </row>
    <row r="128" spans="1:15">
      <c r="A128">
        <v>0.85541999999999996</v>
      </c>
      <c r="B128">
        <v>22.097000000000001</v>
      </c>
      <c r="C128">
        <f t="shared" si="22"/>
        <v>3.6828333333333333E-4</v>
      </c>
      <c r="D128">
        <f t="shared" si="23"/>
        <v>1.8554200000000001</v>
      </c>
      <c r="E128">
        <f t="shared" si="24"/>
        <v>0.85542000000000007</v>
      </c>
      <c r="F128">
        <f t="shared" si="25"/>
        <v>85542</v>
      </c>
      <c r="G128" s="4">
        <f t="shared" si="33"/>
        <v>3.8224526886425984E-14</v>
      </c>
      <c r="H128" s="4">
        <f t="shared" si="34"/>
        <v>3.873100056146813E-2</v>
      </c>
      <c r="I128" s="4">
        <f t="shared" si="35"/>
        <v>4.9321793999868406</v>
      </c>
      <c r="J128">
        <f t="shared" si="36"/>
        <v>-1.4119412834757938</v>
      </c>
      <c r="K128">
        <f t="shared" si="30"/>
        <v>-6.7820600013159357E-2</v>
      </c>
      <c r="L128">
        <f t="shared" si="30"/>
        <v>1.3443333156812773</v>
      </c>
      <c r="M128">
        <f t="shared" si="37"/>
        <v>0.51487206938714891</v>
      </c>
      <c r="N128">
        <f t="shared" si="31"/>
        <v>4.9321793999868406</v>
      </c>
      <c r="O128">
        <f t="shared" si="32"/>
        <v>1.3443333156812773</v>
      </c>
    </row>
    <row r="129" spans="1:15">
      <c r="A129">
        <v>0.87544</v>
      </c>
      <c r="B129">
        <v>23.163</v>
      </c>
      <c r="C129">
        <f t="shared" si="22"/>
        <v>3.8604999999999998E-4</v>
      </c>
      <c r="D129">
        <f t="shared" si="23"/>
        <v>1.87544</v>
      </c>
      <c r="E129">
        <f t="shared" si="24"/>
        <v>0.87544</v>
      </c>
      <c r="F129">
        <f t="shared" si="25"/>
        <v>87544</v>
      </c>
      <c r="G129" s="4">
        <f t="shared" si="33"/>
        <v>3.9152240885059712E-14</v>
      </c>
      <c r="H129" s="4">
        <f t="shared" si="34"/>
        <v>3.9671006738882048E-2</v>
      </c>
      <c r="I129" s="4">
        <f t="shared" si="35"/>
        <v>4.9422263862140392</v>
      </c>
      <c r="J129">
        <f t="shared" si="36"/>
        <v>-1.4015267782101595</v>
      </c>
      <c r="K129">
        <f t="shared" si="30"/>
        <v>-5.7773613785961173E-2</v>
      </c>
      <c r="L129">
        <f t="shared" si="30"/>
        <v>1.3647948071741098</v>
      </c>
      <c r="M129">
        <f t="shared" si="37"/>
        <v>0.52404524847390599</v>
      </c>
      <c r="N129">
        <f t="shared" si="31"/>
        <v>4.9422263862140392</v>
      </c>
      <c r="O129">
        <f t="shared" si="32"/>
        <v>1.3647948071741098</v>
      </c>
    </row>
    <row r="130" spans="1:15">
      <c r="A130">
        <v>0.89422000000000001</v>
      </c>
      <c r="B130">
        <v>24.22</v>
      </c>
      <c r="C130">
        <f t="shared" si="22"/>
        <v>4.0366666666666665E-4</v>
      </c>
      <c r="D130">
        <f t="shared" si="23"/>
        <v>1.89422</v>
      </c>
      <c r="E130">
        <f t="shared" si="24"/>
        <v>0.89422000000000001</v>
      </c>
      <c r="F130">
        <f t="shared" si="25"/>
        <v>89422</v>
      </c>
      <c r="G130" s="4">
        <f t="shared" si="33"/>
        <v>4.0079100205890181E-14</v>
      </c>
      <c r="H130" s="4">
        <f t="shared" si="34"/>
        <v>4.0610146914041016E-2</v>
      </c>
      <c r="I130" s="4">
        <f t="shared" si="35"/>
        <v>4.9514443790105451</v>
      </c>
      <c r="J130">
        <f t="shared" si="36"/>
        <v>-1.3913654393737425</v>
      </c>
      <c r="K130">
        <f t="shared" si="30"/>
        <v>-4.8555620989454637E-2</v>
      </c>
      <c r="L130">
        <f t="shared" si="30"/>
        <v>1.3841741388070334</v>
      </c>
      <c r="M130">
        <f t="shared" si="37"/>
        <v>0.53394891876414075</v>
      </c>
      <c r="N130">
        <f t="shared" si="31"/>
        <v>4.9514443790105451</v>
      </c>
      <c r="O130">
        <f t="shared" si="32"/>
        <v>1.3841741388070334</v>
      </c>
    </row>
    <row r="131" spans="1:15">
      <c r="A131">
        <v>0.91407000000000005</v>
      </c>
      <c r="B131">
        <v>25.471</v>
      </c>
      <c r="C131">
        <f t="shared" si="22"/>
        <v>4.2451666666666669E-4</v>
      </c>
      <c r="D131">
        <f t="shared" si="23"/>
        <v>1.9140700000000002</v>
      </c>
      <c r="E131">
        <f t="shared" si="24"/>
        <v>0.91407000000000016</v>
      </c>
      <c r="F131">
        <f t="shared" si="25"/>
        <v>91407.000000000015</v>
      </c>
      <c r="G131" s="4">
        <f t="shared" si="33"/>
        <v>4.1233931335209999E-14</v>
      </c>
      <c r="H131" s="4">
        <f t="shared" si="34"/>
        <v>4.1780279516361603E-2</v>
      </c>
      <c r="I131" s="4">
        <f t="shared" si="35"/>
        <v>4.9609794555255773</v>
      </c>
      <c r="J131">
        <f t="shared" si="36"/>
        <v>-1.3790286588505074</v>
      </c>
      <c r="K131">
        <f t="shared" si="30"/>
        <v>-3.9020544474423074E-2</v>
      </c>
      <c r="L131">
        <f t="shared" si="30"/>
        <v>1.4060459958453002</v>
      </c>
      <c r="M131">
        <f t="shared" si="37"/>
        <v>0.54746890178414209</v>
      </c>
      <c r="N131">
        <f t="shared" si="31"/>
        <v>4.9609794555255773</v>
      </c>
      <c r="O131">
        <f t="shared" si="32"/>
        <v>1.4060459958453002</v>
      </c>
    </row>
    <row r="132" spans="1:15">
      <c r="A132">
        <v>0.93410000000000004</v>
      </c>
      <c r="B132">
        <v>26.864000000000001</v>
      </c>
      <c r="C132">
        <f t="shared" si="22"/>
        <v>4.4773333333333334E-4</v>
      </c>
      <c r="D132">
        <f t="shared" si="23"/>
        <v>1.9340999999999999</v>
      </c>
      <c r="E132">
        <f t="shared" si="24"/>
        <v>0.93409999999999993</v>
      </c>
      <c r="F132">
        <f t="shared" si="25"/>
        <v>93410</v>
      </c>
      <c r="G132" s="4">
        <f t="shared" si="33"/>
        <v>4.2556461486568015E-14</v>
      </c>
      <c r="H132" s="4">
        <f t="shared" si="34"/>
        <v>4.31203331470318E-2</v>
      </c>
      <c r="I132" s="4">
        <f t="shared" si="35"/>
        <v>4.9703933720796005</v>
      </c>
      <c r="J132">
        <f t="shared" si="36"/>
        <v>-1.3653178924558571</v>
      </c>
      <c r="K132">
        <f t="shared" si="30"/>
        <v>-2.9606627920399843E-2</v>
      </c>
      <c r="L132">
        <f t="shared" si="30"/>
        <v>1.4291706787939735</v>
      </c>
      <c r="M132">
        <f t="shared" si="37"/>
        <v>0.5636771163648896</v>
      </c>
      <c r="N132">
        <f t="shared" si="31"/>
        <v>4.9703933720796005</v>
      </c>
      <c r="O132">
        <f t="shared" si="32"/>
        <v>1.4291706787939735</v>
      </c>
    </row>
    <row r="133" spans="1:15">
      <c r="A133">
        <v>0.95521999999999996</v>
      </c>
      <c r="B133">
        <v>27.850999999999999</v>
      </c>
      <c r="C133">
        <f t="shared" si="22"/>
        <v>4.6418333333333333E-4</v>
      </c>
      <c r="D133">
        <f t="shared" si="23"/>
        <v>1.95522</v>
      </c>
      <c r="E133">
        <f t="shared" si="24"/>
        <v>0.95521999999999996</v>
      </c>
      <c r="F133">
        <f t="shared" si="25"/>
        <v>95522</v>
      </c>
      <c r="G133" s="4">
        <f t="shared" si="33"/>
        <v>4.3144514808127818E-14</v>
      </c>
      <c r="H133" s="4">
        <f t="shared" si="34"/>
        <v>4.3716178155007397E-2</v>
      </c>
      <c r="I133" s="4">
        <f t="shared" si="35"/>
        <v>4.9801034069581442</v>
      </c>
      <c r="J133">
        <f t="shared" si="36"/>
        <v>-1.3593578128417847</v>
      </c>
      <c r="K133">
        <f t="shared" si="30"/>
        <v>-1.9896593041855801E-2</v>
      </c>
      <c r="L133">
        <f t="shared" si="30"/>
        <v>1.4448407932865901</v>
      </c>
      <c r="M133">
        <f t="shared" si="37"/>
        <v>0.56969235569231336</v>
      </c>
      <c r="N133">
        <f t="shared" si="31"/>
        <v>4.9801034069581442</v>
      </c>
      <c r="O133">
        <f t="shared" si="32"/>
        <v>1.4448407932865901</v>
      </c>
    </row>
    <row r="134" spans="1:15">
      <c r="A134">
        <v>0.97484999999999999</v>
      </c>
      <c r="B134">
        <v>28.971</v>
      </c>
      <c r="C134">
        <f t="shared" si="22"/>
        <v>4.8285E-4</v>
      </c>
      <c r="D134">
        <f t="shared" si="23"/>
        <v>1.97485</v>
      </c>
      <c r="E134">
        <f t="shared" si="24"/>
        <v>0.97484999999999999</v>
      </c>
      <c r="F134">
        <f t="shared" si="25"/>
        <v>97485</v>
      </c>
      <c r="G134" s="4">
        <f t="shared" si="33"/>
        <v>4.3975814617083958E-14</v>
      </c>
      <c r="H134" s="4">
        <f t="shared" si="34"/>
        <v>4.4558492658025153E-2</v>
      </c>
      <c r="I134" s="4">
        <f t="shared" si="35"/>
        <v>4.9889377960227526</v>
      </c>
      <c r="J134">
        <f t="shared" si="36"/>
        <v>-1.3510695090680447</v>
      </c>
      <c r="K134">
        <f t="shared" si="30"/>
        <v>-1.1062203977247475E-2</v>
      </c>
      <c r="L134">
        <f t="shared" si="30"/>
        <v>1.4619634861249384</v>
      </c>
      <c r="M134">
        <f t="shared" si="37"/>
        <v>0.57570319716636886</v>
      </c>
      <c r="N134">
        <f t="shared" si="31"/>
        <v>4.9889377960227526</v>
      </c>
      <c r="O134">
        <f t="shared" si="32"/>
        <v>1.4619634861249384</v>
      </c>
    </row>
    <row r="135" spans="1:15">
      <c r="A135">
        <v>0.99499000000000004</v>
      </c>
      <c r="B135">
        <v>30.331</v>
      </c>
      <c r="C135">
        <f t="shared" si="22"/>
        <v>5.0551666666666666E-4</v>
      </c>
      <c r="D135">
        <f t="shared" si="23"/>
        <v>1.99499</v>
      </c>
      <c r="E135">
        <f t="shared" si="24"/>
        <v>0.99499000000000004</v>
      </c>
      <c r="F135">
        <f t="shared" si="25"/>
        <v>99499</v>
      </c>
      <c r="G135" s="4">
        <f t="shared" si="33"/>
        <v>4.5108274660912284E-14</v>
      </c>
      <c r="H135" s="4">
        <f t="shared" si="34"/>
        <v>4.5705957758735941E-2</v>
      </c>
      <c r="I135" s="4">
        <f t="shared" si="35"/>
        <v>4.9978187159551295</v>
      </c>
      <c r="J135" s="4">
        <f t="shared" si="36"/>
        <v>-1.3400271860767285</v>
      </c>
      <c r="K135">
        <f t="shared" si="30"/>
        <v>-2.1812840448705291E-3</v>
      </c>
      <c r="L135">
        <f t="shared" si="30"/>
        <v>1.4818867290486317</v>
      </c>
      <c r="M135">
        <f t="shared" si="37"/>
        <v>0.58635655252069596</v>
      </c>
      <c r="N135">
        <f t="shared" si="31"/>
        <v>4.9978187159551295</v>
      </c>
      <c r="O135">
        <f t="shared" si="32"/>
        <v>1.4818867290486317</v>
      </c>
    </row>
    <row r="136" spans="1:15">
      <c r="A136">
        <v>1.0147999999999999</v>
      </c>
      <c r="B136">
        <v>32.006</v>
      </c>
      <c r="C136">
        <f t="shared" si="22"/>
        <v>5.3343333333333331E-4</v>
      </c>
      <c r="D136">
        <f t="shared" si="23"/>
        <v>2.0148000000000001</v>
      </c>
      <c r="E136">
        <f t="shared" si="24"/>
        <v>1.0148000000000001</v>
      </c>
      <c r="F136">
        <f t="shared" si="25"/>
        <v>101480.00000000001</v>
      </c>
      <c r="G136" s="4">
        <f t="shared" si="33"/>
        <v>4.6670144485620751E-14</v>
      </c>
      <c r="H136" s="4">
        <f t="shared" si="34"/>
        <v>4.7288522305249804E-2</v>
      </c>
      <c r="I136" s="4">
        <f t="shared" si="35"/>
        <v>5.0063804585496934</v>
      </c>
      <c r="J136">
        <f t="shared" si="36"/>
        <v>-1.3252442568177896</v>
      </c>
      <c r="K136">
        <f t="shared" si="30"/>
        <v>6.3804585496930744E-3</v>
      </c>
      <c r="L136">
        <f t="shared" si="30"/>
        <v>1.5052314009021344</v>
      </c>
      <c r="M136">
        <f t="shared" si="37"/>
        <v>0.60297666593571542</v>
      </c>
      <c r="N136">
        <f t="shared" si="31"/>
        <v>5.0063804585496934</v>
      </c>
      <c r="O136">
        <f t="shared" si="32"/>
        <v>1.5052314009021344</v>
      </c>
    </row>
    <row r="137" spans="1:15">
      <c r="A137">
        <v>1.0350999999999999</v>
      </c>
      <c r="B137">
        <v>33.155000000000001</v>
      </c>
      <c r="C137">
        <f t="shared" si="22"/>
        <v>5.5258333333333331E-4</v>
      </c>
      <c r="D137">
        <f t="shared" si="23"/>
        <v>2.0350999999999999</v>
      </c>
      <c r="E137">
        <f t="shared" si="24"/>
        <v>1.0350999999999999</v>
      </c>
      <c r="F137">
        <f t="shared" si="25"/>
        <v>103509.99999999999</v>
      </c>
      <c r="G137" s="4">
        <f t="shared" si="33"/>
        <v>4.7397444502045675E-14</v>
      </c>
      <c r="H137" s="4">
        <f t="shared" si="34"/>
        <v>4.8025459022039169E-2</v>
      </c>
      <c r="I137" s="4">
        <f t="shared" si="35"/>
        <v>5.0149823085854823</v>
      </c>
      <c r="J137">
        <f t="shared" si="36"/>
        <v>-1.3185284755076847</v>
      </c>
      <c r="K137">
        <f t="shared" si="30"/>
        <v>1.4982308585481911E-2</v>
      </c>
      <c r="L137">
        <f t="shared" si="30"/>
        <v>1.5205490322480277</v>
      </c>
      <c r="M137">
        <f t="shared" si="37"/>
        <v>0.61172244806894049</v>
      </c>
      <c r="N137">
        <f t="shared" si="31"/>
        <v>5.0149823085854823</v>
      </c>
      <c r="O137">
        <f t="shared" si="32"/>
        <v>1.5205490322480277</v>
      </c>
    </row>
    <row r="138" spans="1:15">
      <c r="A138">
        <v>1.0535000000000001</v>
      </c>
      <c r="B138">
        <v>34.32</v>
      </c>
      <c r="C138">
        <f t="shared" si="22"/>
        <v>5.7200000000000003E-4</v>
      </c>
      <c r="D138">
        <f t="shared" si="23"/>
        <v>2.0535000000000001</v>
      </c>
      <c r="E138">
        <f t="shared" si="24"/>
        <v>1.0535000000000001</v>
      </c>
      <c r="F138">
        <f t="shared" si="25"/>
        <v>105350.00000000001</v>
      </c>
      <c r="G138" s="4">
        <f t="shared" si="33"/>
        <v>4.8205982891495472E-14</v>
      </c>
      <c r="H138" s="4">
        <f t="shared" si="34"/>
        <v>4.8844710517519922E-2</v>
      </c>
      <c r="I138" s="4">
        <f t="shared" si="35"/>
        <v>5.0226345399441188</v>
      </c>
      <c r="J138">
        <f t="shared" si="36"/>
        <v>-1.3111824599376818</v>
      </c>
      <c r="K138">
        <f t="shared" si="30"/>
        <v>2.2634539944119035E-2</v>
      </c>
      <c r="L138">
        <f t="shared" si="30"/>
        <v>1.5355472791766678</v>
      </c>
      <c r="M138">
        <f t="shared" si="37"/>
        <v>0.61735808968806383</v>
      </c>
      <c r="N138">
        <f t="shared" si="31"/>
        <v>5.0226345399441188</v>
      </c>
      <c r="O138">
        <f t="shared" si="32"/>
        <v>1.5355472791766678</v>
      </c>
    </row>
    <row r="139" spans="1:15">
      <c r="A139">
        <v>1.0739000000000001</v>
      </c>
      <c r="B139">
        <v>35.552999999999997</v>
      </c>
      <c r="C139">
        <f t="shared" si="22"/>
        <v>5.9254999999999996E-4</v>
      </c>
      <c r="D139">
        <f t="shared" si="23"/>
        <v>2.0739000000000001</v>
      </c>
      <c r="E139">
        <f t="shared" si="24"/>
        <v>1.0739000000000001</v>
      </c>
      <c r="F139">
        <f t="shared" si="25"/>
        <v>107390.00000000001</v>
      </c>
      <c r="G139" s="4">
        <f t="shared" si="33"/>
        <v>4.8989230016373346E-14</v>
      </c>
      <c r="H139" s="4">
        <f t="shared" si="34"/>
        <v>4.9638335640037418E-2</v>
      </c>
      <c r="I139" s="4">
        <f t="shared" si="35"/>
        <v>5.0309638423782754</v>
      </c>
      <c r="J139">
        <f t="shared" si="36"/>
        <v>-1.3041827887056514</v>
      </c>
      <c r="K139">
        <f t="shared" si="30"/>
        <v>3.0963842378275225E-2</v>
      </c>
      <c r="L139">
        <f t="shared" si="30"/>
        <v>1.5508762528428546</v>
      </c>
      <c r="M139">
        <f t="shared" si="37"/>
        <v>0.6249089893037888</v>
      </c>
      <c r="N139">
        <f t="shared" si="31"/>
        <v>5.0309638423782754</v>
      </c>
      <c r="O139">
        <f t="shared" si="32"/>
        <v>1.5508762528428546</v>
      </c>
    </row>
    <row r="140" spans="1:15">
      <c r="A140">
        <v>1.0932999999999999</v>
      </c>
      <c r="B140">
        <v>36.890999999999998</v>
      </c>
      <c r="C140">
        <f t="shared" si="22"/>
        <v>6.1485000000000001E-4</v>
      </c>
      <c r="D140">
        <f t="shared" si="23"/>
        <v>2.0933000000000002</v>
      </c>
      <c r="E140">
        <f t="shared" si="24"/>
        <v>1.0933000000000002</v>
      </c>
      <c r="F140">
        <f t="shared" si="25"/>
        <v>109330.00000000001</v>
      </c>
      <c r="G140" s="4">
        <f t="shared" si="33"/>
        <v>4.9930887177254975E-14</v>
      </c>
      <c r="H140" s="4">
        <f t="shared" si="34"/>
        <v>5.0592469726122559E-2</v>
      </c>
      <c r="I140" s="4">
        <f t="shared" si="35"/>
        <v>5.0387393481047491</v>
      </c>
      <c r="J140">
        <f t="shared" si="36"/>
        <v>-1.2959141195191528</v>
      </c>
      <c r="K140">
        <f t="shared" si="30"/>
        <v>3.8739348104748918E-2</v>
      </c>
      <c r="L140">
        <f t="shared" si="30"/>
        <v>1.5669204277558266</v>
      </c>
      <c r="M140">
        <f t="shared" si="37"/>
        <v>0.64411247738392563</v>
      </c>
      <c r="N140">
        <f t="shared" si="31"/>
        <v>5.0387393481047491</v>
      </c>
      <c r="O140">
        <f t="shared" si="32"/>
        <v>1.5669204277558266</v>
      </c>
    </row>
    <row r="141" spans="1:15">
      <c r="A141">
        <v>1.1135999999999999</v>
      </c>
      <c r="B141">
        <v>38.298999999999999</v>
      </c>
      <c r="C141">
        <f t="shared" si="22"/>
        <v>6.3831666666666663E-4</v>
      </c>
      <c r="D141">
        <f t="shared" si="23"/>
        <v>2.1135999999999999</v>
      </c>
      <c r="E141">
        <f t="shared" si="24"/>
        <v>1.1135999999999999</v>
      </c>
      <c r="F141">
        <f t="shared" si="25"/>
        <v>111359.99999999999</v>
      </c>
      <c r="G141" s="4">
        <f t="shared" si="33"/>
        <v>5.0891636361781766E-14</v>
      </c>
      <c r="H141" s="4">
        <f t="shared" si="34"/>
        <v>5.1565948804513748E-2</v>
      </c>
      <c r="I141" s="4">
        <f t="shared" si="35"/>
        <v>5.046729222266487</v>
      </c>
      <c r="J141">
        <f t="shared" si="36"/>
        <v>-1.2876369868976414</v>
      </c>
      <c r="K141">
        <f t="shared" si="30"/>
        <v>4.6729222266486861E-2</v>
      </c>
      <c r="L141">
        <f t="shared" si="30"/>
        <v>1.583187434539076</v>
      </c>
      <c r="M141">
        <f t="shared" si="37"/>
        <v>0.64488375023891098</v>
      </c>
      <c r="N141">
        <f t="shared" si="31"/>
        <v>5.046729222266487</v>
      </c>
      <c r="O141">
        <f t="shared" si="32"/>
        <v>1.583187434539076</v>
      </c>
    </row>
    <row r="142" spans="1:15">
      <c r="A142">
        <v>1.1329</v>
      </c>
      <c r="B142">
        <v>39.265000000000001</v>
      </c>
      <c r="C142">
        <f t="shared" si="22"/>
        <v>6.5441666666666664E-4</v>
      </c>
      <c r="D142">
        <f t="shared" si="23"/>
        <v>2.1329000000000002</v>
      </c>
      <c r="E142">
        <f t="shared" si="24"/>
        <v>1.1329000000000002</v>
      </c>
      <c r="F142">
        <f t="shared" si="25"/>
        <v>113290.00000000003</v>
      </c>
      <c r="G142" s="4">
        <f t="shared" si="33"/>
        <v>5.1286401512325437E-14</v>
      </c>
      <c r="H142" s="4">
        <f t="shared" si="34"/>
        <v>5.1965944579812261E-2</v>
      </c>
      <c r="I142" s="4">
        <f t="shared" si="35"/>
        <v>5.0541915767964323</v>
      </c>
      <c r="J142">
        <f t="shared" si="36"/>
        <v>-1.2842811741783211</v>
      </c>
      <c r="K142">
        <f t="shared" si="30"/>
        <v>5.4191576796431794E-2</v>
      </c>
      <c r="L142">
        <f t="shared" si="30"/>
        <v>1.5940056017883415</v>
      </c>
      <c r="M142">
        <f t="shared" si="37"/>
        <v>0.64758388311594295</v>
      </c>
      <c r="N142">
        <f t="shared" si="31"/>
        <v>5.0541915767964323</v>
      </c>
      <c r="O142">
        <f t="shared" si="32"/>
        <v>1.5940056017883415</v>
      </c>
    </row>
    <row r="143" spans="1:15">
      <c r="A143">
        <v>1.1580999999999999</v>
      </c>
      <c r="B143">
        <v>40.465000000000003</v>
      </c>
      <c r="C143">
        <f t="shared" si="22"/>
        <v>6.744166666666667E-4</v>
      </c>
      <c r="D143">
        <f t="shared" si="23"/>
        <v>2.1581000000000001</v>
      </c>
      <c r="E143">
        <f t="shared" si="24"/>
        <v>1.1581000000000001</v>
      </c>
      <c r="F143">
        <f t="shared" si="25"/>
        <v>115810.00000000001</v>
      </c>
      <c r="G143" s="4">
        <f t="shared" si="33"/>
        <v>5.1703707519277616E-14</v>
      </c>
      <c r="H143" s="4">
        <f t="shared" si="34"/>
        <v>5.2388779877096441E-2</v>
      </c>
      <c r="I143" s="4">
        <f t="shared" si="35"/>
        <v>5.0637460616134433</v>
      </c>
      <c r="J143">
        <f t="shared" si="36"/>
        <v>-1.280761716055103</v>
      </c>
      <c r="K143">
        <f t="shared" si="30"/>
        <v>6.3746061613443442E-2</v>
      </c>
      <c r="L143">
        <f t="shared" si="30"/>
        <v>1.6070795447285711</v>
      </c>
      <c r="M143">
        <f t="shared" si="37"/>
        <v>0.65276914714169965</v>
      </c>
      <c r="N143">
        <f t="shared" si="31"/>
        <v>5.0637460616134433</v>
      </c>
      <c r="O143">
        <f t="shared" si="32"/>
        <v>1.6070795447285711</v>
      </c>
    </row>
    <row r="144" spans="1:15">
      <c r="A144">
        <v>1.1771</v>
      </c>
      <c r="B144">
        <v>41.451999999999998</v>
      </c>
      <c r="C144">
        <f t="shared" si="22"/>
        <v>6.9086666666666669E-4</v>
      </c>
      <c r="D144">
        <f t="shared" si="23"/>
        <v>2.1771000000000003</v>
      </c>
      <c r="E144">
        <f t="shared" si="24"/>
        <v>1.1771000000000003</v>
      </c>
      <c r="F144">
        <f t="shared" si="25"/>
        <v>117710.00000000003</v>
      </c>
      <c r="G144" s="4">
        <f t="shared" si="33"/>
        <v>5.2109911170242174E-14</v>
      </c>
      <c r="H144" s="4">
        <f t="shared" si="34"/>
        <v>5.2800365712555544E-2</v>
      </c>
      <c r="I144" s="4">
        <f t="shared" si="35"/>
        <v>5.0708133597027159</v>
      </c>
      <c r="J144">
        <f t="shared" si="36"/>
        <v>-1.2773630693905289</v>
      </c>
      <c r="K144">
        <f t="shared" si="30"/>
        <v>7.0813359702715475E-2</v>
      </c>
      <c r="L144">
        <f t="shared" si="30"/>
        <v>1.6175454894824173</v>
      </c>
      <c r="M144">
        <f t="shared" si="37"/>
        <v>0.65275027121200357</v>
      </c>
      <c r="N144">
        <f t="shared" si="31"/>
        <v>5.0708133597027159</v>
      </c>
      <c r="O144">
        <f t="shared" si="32"/>
        <v>1.6175454894824173</v>
      </c>
    </row>
    <row r="145" spans="1:15">
      <c r="A145">
        <v>1.1938</v>
      </c>
      <c r="B145">
        <v>42.79</v>
      </c>
      <c r="C145">
        <f t="shared" si="22"/>
        <v>7.1316666666666664E-4</v>
      </c>
      <c r="D145">
        <f t="shared" si="23"/>
        <v>2.1938</v>
      </c>
      <c r="E145">
        <f t="shared" si="24"/>
        <v>1.1938</v>
      </c>
      <c r="F145">
        <f t="shared" si="25"/>
        <v>119380</v>
      </c>
      <c r="G145" s="4">
        <f t="shared" si="33"/>
        <v>5.3039438159492044E-14</v>
      </c>
      <c r="H145" s="4">
        <f t="shared" si="34"/>
        <v>5.3742208902649316E-2</v>
      </c>
      <c r="I145" s="4">
        <f t="shared" si="35"/>
        <v>5.0769315745556556</v>
      </c>
      <c r="J145">
        <f t="shared" si="36"/>
        <v>-1.2696844872419533</v>
      </c>
      <c r="K145">
        <f t="shared" si="30"/>
        <v>7.693157455565551E-2</v>
      </c>
      <c r="L145">
        <f t="shared" si="30"/>
        <v>1.6313422864839329</v>
      </c>
      <c r="M145">
        <f t="shared" si="37"/>
        <v>0.66504666287861502</v>
      </c>
      <c r="N145">
        <f t="shared" si="31"/>
        <v>5.0769315745556556</v>
      </c>
      <c r="O145">
        <f t="shared" si="32"/>
        <v>1.6313422864839329</v>
      </c>
    </row>
    <row r="146" spans="1:15">
      <c r="A146">
        <v>1.2138</v>
      </c>
      <c r="B146">
        <v>44.365000000000002</v>
      </c>
      <c r="C146">
        <f t="shared" si="22"/>
        <v>7.3941666666666665E-4</v>
      </c>
      <c r="D146">
        <f t="shared" si="23"/>
        <v>2.2138</v>
      </c>
      <c r="E146">
        <f t="shared" si="24"/>
        <v>1.2138</v>
      </c>
      <c r="F146">
        <f t="shared" si="25"/>
        <v>121380</v>
      </c>
      <c r="G146" s="4">
        <f t="shared" si="33"/>
        <v>5.4085588024016812E-14</v>
      </c>
      <c r="H146" s="4">
        <f t="shared" si="34"/>
        <v>5.4802220217130153E-2</v>
      </c>
      <c r="I146" s="4">
        <f t="shared" si="35"/>
        <v>5.0841471331544481</v>
      </c>
      <c r="J146">
        <f t="shared" si="36"/>
        <v>-1.261201846469719</v>
      </c>
      <c r="K146">
        <f t="shared" si="30"/>
        <v>8.4147133154448314E-2</v>
      </c>
      <c r="L146">
        <f t="shared" si="30"/>
        <v>1.6470404858549599</v>
      </c>
      <c r="M146">
        <f t="shared" si="37"/>
        <v>0.6749711411038587</v>
      </c>
      <c r="N146">
        <f t="shared" si="31"/>
        <v>5.0841471331544481</v>
      </c>
      <c r="O146">
        <f t="shared" si="32"/>
        <v>1.6470404858549599</v>
      </c>
    </row>
    <row r="147" spans="1:15">
      <c r="A147" s="1">
        <v>1.2323999999999999</v>
      </c>
      <c r="B147" s="1">
        <v>46.088000000000001</v>
      </c>
      <c r="C147" s="1">
        <f t="shared" si="22"/>
        <v>7.6813333333333332E-4</v>
      </c>
      <c r="D147" s="1">
        <f t="shared" si="23"/>
        <v>2.2324000000000002</v>
      </c>
      <c r="E147" s="1">
        <f t="shared" si="24"/>
        <v>1.2324000000000002</v>
      </c>
      <c r="F147" s="1">
        <f t="shared" si="25"/>
        <v>123240.00000000001</v>
      </c>
      <c r="G147" s="1">
        <f t="shared" si="33"/>
        <v>5.5338116795593069E-14</v>
      </c>
      <c r="H147" s="1">
        <f t="shared" si="34"/>
        <v>5.6071344952128566E-2</v>
      </c>
      <c r="I147" s="1">
        <f t="shared" si="35"/>
        <v>5.090751689644903</v>
      </c>
      <c r="J147" s="1">
        <f t="shared" si="36"/>
        <v>-1.2512590265966634</v>
      </c>
      <c r="K147" s="1">
        <f t="shared" si="30"/>
        <v>9.0751689644903002E-2</v>
      </c>
      <c r="L147" s="1">
        <f t="shared" si="30"/>
        <v>1.6635878622184703</v>
      </c>
      <c r="M147" s="1">
        <f t="shared" si="37"/>
        <v>0.68464458218907553</v>
      </c>
      <c r="N147">
        <f t="shared" si="31"/>
        <v>5.090751689644903</v>
      </c>
      <c r="O147">
        <f t="shared" si="32"/>
        <v>1.6635878622184703</v>
      </c>
    </row>
    <row r="148" spans="1:15">
      <c r="A148">
        <v>1.2519</v>
      </c>
      <c r="B148">
        <v>47.828000000000003</v>
      </c>
      <c r="C148">
        <f t="shared" ref="C148:C160" si="38">B148/(1000*60)</f>
        <v>7.9713333333333337E-4</v>
      </c>
      <c r="D148">
        <f t="shared" ref="D148:D160" si="39">A148+1</f>
        <v>2.2519</v>
      </c>
      <c r="E148">
        <f t="shared" ref="E148:E160" si="40">D148-1</f>
        <v>1.2519</v>
      </c>
      <c r="F148">
        <f t="shared" ref="F148:F160" si="41">E148*100000</f>
        <v>125190</v>
      </c>
      <c r="G148" s="4">
        <f t="shared" si="33"/>
        <v>5.6532837507623341E-14</v>
      </c>
      <c r="H148" s="4">
        <f t="shared" si="34"/>
        <v>5.7281895672767411E-2</v>
      </c>
      <c r="I148" s="4">
        <f t="shared" si="35"/>
        <v>5.097569639431371</v>
      </c>
      <c r="J148">
        <f t="shared" si="36"/>
        <v>-1.24198261802912</v>
      </c>
      <c r="K148">
        <f t="shared" si="30"/>
        <v>9.7569639431371286E-2</v>
      </c>
      <c r="L148">
        <f t="shared" si="30"/>
        <v>1.679682220572482</v>
      </c>
      <c r="M148">
        <f t="shared" si="37"/>
        <v>0.7003494858356123</v>
      </c>
      <c r="N148">
        <f t="shared" si="31"/>
        <v>5.097569639431371</v>
      </c>
      <c r="O148">
        <f t="shared" si="32"/>
        <v>1.679682220572482</v>
      </c>
    </row>
    <row r="149" spans="1:15">
      <c r="A149">
        <v>1.2727999999999999</v>
      </c>
      <c r="B149">
        <v>49.258000000000003</v>
      </c>
      <c r="C149">
        <f t="shared" si="38"/>
        <v>8.2096666666666676E-4</v>
      </c>
      <c r="D149">
        <f t="shared" si="39"/>
        <v>2.2728000000000002</v>
      </c>
      <c r="E149">
        <f t="shared" si="40"/>
        <v>1.2728000000000002</v>
      </c>
      <c r="F149">
        <f t="shared" si="41"/>
        <v>127280.00000000001</v>
      </c>
      <c r="G149" s="4">
        <f t="shared" si="33"/>
        <v>5.7267049863661428E-14</v>
      </c>
      <c r="H149" s="4">
        <f t="shared" si="34"/>
        <v>5.8025836317433604E-2</v>
      </c>
      <c r="I149" s="4">
        <f t="shared" si="35"/>
        <v>5.1047601666385249</v>
      </c>
      <c r="J149">
        <f t="shared" si="36"/>
        <v>-1.2363785914075192</v>
      </c>
      <c r="K149">
        <f t="shared" ref="K149:L160" si="42">LOG(A149)</f>
        <v>0.10476016663852508</v>
      </c>
      <c r="L149">
        <f t="shared" si="42"/>
        <v>1.6924767744012366</v>
      </c>
      <c r="M149">
        <f t="shared" si="37"/>
        <v>0.70356506520960482</v>
      </c>
      <c r="N149">
        <f t="shared" ref="N149:N160" si="43">LOG(F149)</f>
        <v>5.1047601666385249</v>
      </c>
      <c r="O149">
        <f t="shared" ref="O149:O160" si="44">LOG(B149)</f>
        <v>1.6924767744012366</v>
      </c>
    </row>
    <row r="150" spans="1:15">
      <c r="A150">
        <v>1.2926</v>
      </c>
      <c r="B150">
        <v>50.552</v>
      </c>
      <c r="C150">
        <f t="shared" si="38"/>
        <v>8.4253333333333329E-4</v>
      </c>
      <c r="D150">
        <f t="shared" si="39"/>
        <v>2.2926000000000002</v>
      </c>
      <c r="E150">
        <f t="shared" si="40"/>
        <v>1.2926000000000002</v>
      </c>
      <c r="F150">
        <f t="shared" si="41"/>
        <v>129260.00000000001</v>
      </c>
      <c r="G150" s="4">
        <f t="shared" si="33"/>
        <v>5.7871187470681714E-14</v>
      </c>
      <c r="H150" s="4">
        <f t="shared" si="34"/>
        <v>5.8637978727102406E-2</v>
      </c>
      <c r="I150" s="4">
        <f t="shared" si="35"/>
        <v>5.1114641515866541</v>
      </c>
      <c r="J150">
        <f t="shared" si="36"/>
        <v>-1.2318210084009529</v>
      </c>
      <c r="K150">
        <f t="shared" si="42"/>
        <v>0.11146415158665396</v>
      </c>
      <c r="L150">
        <f t="shared" si="42"/>
        <v>1.7037383423559316</v>
      </c>
      <c r="M150">
        <f t="shared" si="37"/>
        <v>0.7083075365685495</v>
      </c>
      <c r="N150">
        <f t="shared" si="43"/>
        <v>5.1114641515866541</v>
      </c>
      <c r="O150">
        <f t="shared" si="44"/>
        <v>1.7037383423559316</v>
      </c>
    </row>
    <row r="151" spans="1:15">
      <c r="A151">
        <v>1.3110999999999999</v>
      </c>
      <c r="B151">
        <v>51.655999999999999</v>
      </c>
      <c r="C151">
        <f t="shared" si="38"/>
        <v>8.609333333333333E-4</v>
      </c>
      <c r="D151">
        <f t="shared" si="39"/>
        <v>2.3110999999999997</v>
      </c>
      <c r="E151">
        <f t="shared" si="40"/>
        <v>1.3110999999999997</v>
      </c>
      <c r="F151">
        <f t="shared" si="41"/>
        <v>131109.99999999997</v>
      </c>
      <c r="G151" s="4">
        <f t="shared" si="33"/>
        <v>5.83006180893785E-14</v>
      </c>
      <c r="H151" s="4">
        <f t="shared" si="34"/>
        <v>5.9073099286822486E-2</v>
      </c>
      <c r="I151" s="4">
        <f t="shared" si="35"/>
        <v>5.1176358173894938</v>
      </c>
      <c r="J151">
        <f t="shared" si="36"/>
        <v>-1.2286102431619417</v>
      </c>
      <c r="K151">
        <f t="shared" si="42"/>
        <v>0.11763581738949418</v>
      </c>
      <c r="L151">
        <f t="shared" si="42"/>
        <v>1.7131207733977831</v>
      </c>
      <c r="M151">
        <f t="shared" si="37"/>
        <v>0.70861315650474843</v>
      </c>
      <c r="N151">
        <f t="shared" si="43"/>
        <v>5.1176358173894938</v>
      </c>
      <c r="O151">
        <f t="shared" si="44"/>
        <v>1.7131207733977831</v>
      </c>
    </row>
    <row r="152" spans="1:15">
      <c r="A152">
        <v>1.3326</v>
      </c>
      <c r="B152">
        <v>53.100999999999999</v>
      </c>
      <c r="C152">
        <f t="shared" si="38"/>
        <v>8.8501666666666661E-4</v>
      </c>
      <c r="D152">
        <f t="shared" si="39"/>
        <v>2.3326000000000002</v>
      </c>
      <c r="E152">
        <f t="shared" si="40"/>
        <v>1.3326000000000002</v>
      </c>
      <c r="F152">
        <f t="shared" si="41"/>
        <v>133260.00000000003</v>
      </c>
      <c r="G152" s="4">
        <f t="shared" si="33"/>
        <v>5.8964564318038608E-14</v>
      </c>
      <c r="H152" s="4">
        <f t="shared" si="34"/>
        <v>5.974584278032407E-2</v>
      </c>
      <c r="I152" s="4">
        <f t="shared" si="35"/>
        <v>5.1246998089321174</v>
      </c>
      <c r="J152">
        <f t="shared" si="36"/>
        <v>-1.2236923082940891</v>
      </c>
      <c r="K152">
        <f t="shared" si="42"/>
        <v>0.12469980893211759</v>
      </c>
      <c r="L152">
        <f t="shared" si="42"/>
        <v>1.725102699808259</v>
      </c>
      <c r="M152">
        <f t="shared" si="37"/>
        <v>0.71544307326177992</v>
      </c>
      <c r="N152">
        <f t="shared" si="43"/>
        <v>5.1246998089321174</v>
      </c>
      <c r="O152">
        <f t="shared" si="44"/>
        <v>1.725102699808259</v>
      </c>
    </row>
    <row r="153" spans="1:15">
      <c r="A153">
        <v>1.3514999999999999</v>
      </c>
      <c r="B153">
        <v>54.36</v>
      </c>
      <c r="C153">
        <f t="shared" si="38"/>
        <v>9.0600000000000001E-4</v>
      </c>
      <c r="D153">
        <f t="shared" si="39"/>
        <v>2.3514999999999997</v>
      </c>
      <c r="E153">
        <f t="shared" si="40"/>
        <v>1.3514999999999997</v>
      </c>
      <c r="F153">
        <f t="shared" si="41"/>
        <v>135149.99999999997</v>
      </c>
      <c r="G153" s="4">
        <f t="shared" si="33"/>
        <v>5.9518448417102716E-14</v>
      </c>
      <c r="H153" s="4">
        <f t="shared" si="34"/>
        <v>6.0307065824773527E-2</v>
      </c>
      <c r="I153" s="4">
        <f t="shared" si="35"/>
        <v>5.1308160500347437</v>
      </c>
      <c r="J153">
        <f t="shared" si="36"/>
        <v>-1.219631801144518</v>
      </c>
      <c r="K153">
        <f t="shared" si="42"/>
        <v>0.1308160500347442</v>
      </c>
      <c r="L153">
        <f t="shared" si="42"/>
        <v>1.7352794480604568</v>
      </c>
      <c r="M153">
        <f t="shared" si="37"/>
        <v>0.71733763946843021</v>
      </c>
      <c r="N153">
        <f t="shared" si="43"/>
        <v>5.1308160500347437</v>
      </c>
      <c r="O153">
        <f t="shared" si="44"/>
        <v>1.7352794480604568</v>
      </c>
    </row>
    <row r="154" spans="1:15">
      <c r="A154">
        <v>1.3722000000000001</v>
      </c>
      <c r="B154">
        <v>55.51</v>
      </c>
      <c r="C154">
        <f t="shared" si="38"/>
        <v>9.2516666666666659E-4</v>
      </c>
      <c r="D154">
        <f t="shared" si="39"/>
        <v>2.3722000000000003</v>
      </c>
      <c r="E154">
        <f t="shared" si="40"/>
        <v>1.3722000000000003</v>
      </c>
      <c r="F154">
        <f t="shared" si="41"/>
        <v>137220.00000000003</v>
      </c>
      <c r="G154" s="4">
        <f t="shared" si="33"/>
        <v>5.9860730917707164E-14</v>
      </c>
      <c r="H154" s="4">
        <f t="shared" si="34"/>
        <v>6.0653883556814558E-2</v>
      </c>
      <c r="I154" s="4">
        <f t="shared" si="35"/>
        <v>5.1374174149903924</v>
      </c>
      <c r="J154">
        <f t="shared" si="36"/>
        <v>-1.2171413868287622</v>
      </c>
      <c r="K154">
        <f t="shared" si="42"/>
        <v>0.13741741499039214</v>
      </c>
      <c r="L154">
        <f t="shared" si="42"/>
        <v>1.7443712273318606</v>
      </c>
      <c r="M154">
        <f t="shared" si="37"/>
        <v>0.72242889982700942</v>
      </c>
      <c r="N154">
        <f t="shared" si="43"/>
        <v>5.1374174149903924</v>
      </c>
      <c r="O154">
        <f t="shared" si="44"/>
        <v>1.7443712273318606</v>
      </c>
    </row>
    <row r="155" spans="1:15">
      <c r="A155">
        <v>1.3942000000000001</v>
      </c>
      <c r="B155">
        <v>56.938000000000002</v>
      </c>
      <c r="C155">
        <f t="shared" si="38"/>
        <v>9.4896666666666673E-4</v>
      </c>
      <c r="D155">
        <f t="shared" si="39"/>
        <v>2.3942000000000001</v>
      </c>
      <c r="E155">
        <f t="shared" si="40"/>
        <v>1.3942000000000001</v>
      </c>
      <c r="F155">
        <f t="shared" si="41"/>
        <v>139420</v>
      </c>
      <c r="G155" s="4">
        <f t="shared" si="33"/>
        <v>6.0431772526857313E-14</v>
      </c>
      <c r="H155" s="4">
        <f t="shared" si="34"/>
        <v>6.1232491447772396E-2</v>
      </c>
      <c r="I155" s="4">
        <f t="shared" si="35"/>
        <v>5.1443250784004881</v>
      </c>
      <c r="J155">
        <f t="shared" si="36"/>
        <v>-1.2130180694878931</v>
      </c>
      <c r="K155">
        <f t="shared" si="42"/>
        <v>0.14432507840048833</v>
      </c>
      <c r="L155">
        <f t="shared" si="42"/>
        <v>1.7554022080828255</v>
      </c>
      <c r="M155">
        <f t="shared" si="37"/>
        <v>0.72446550070384563</v>
      </c>
      <c r="N155">
        <f t="shared" si="43"/>
        <v>5.1443250784004881</v>
      </c>
      <c r="O155">
        <f t="shared" si="44"/>
        <v>1.7554022080828255</v>
      </c>
    </row>
    <row r="156" spans="1:15">
      <c r="A156">
        <v>1.4134</v>
      </c>
      <c r="B156">
        <v>58.18</v>
      </c>
      <c r="C156">
        <f t="shared" si="38"/>
        <v>9.6966666666666664E-4</v>
      </c>
      <c r="D156">
        <f t="shared" si="39"/>
        <v>2.4134000000000002</v>
      </c>
      <c r="E156">
        <f t="shared" si="40"/>
        <v>1.4134000000000002</v>
      </c>
      <c r="F156">
        <f t="shared" si="41"/>
        <v>141340.00000000003</v>
      </c>
      <c r="G156" s="4">
        <f t="shared" si="33"/>
        <v>6.0911154762185526E-14</v>
      </c>
      <c r="H156" s="4">
        <f t="shared" si="34"/>
        <v>6.1718225481337326E-2</v>
      </c>
      <c r="I156" s="4">
        <f t="shared" si="35"/>
        <v>5.1502650869787034</v>
      </c>
      <c r="J156">
        <f t="shared" si="36"/>
        <v>-1.209586569237894</v>
      </c>
      <c r="K156">
        <f t="shared" si="42"/>
        <v>0.15026508697870372</v>
      </c>
      <c r="L156">
        <f t="shared" si="42"/>
        <v>1.7647737169110405</v>
      </c>
      <c r="M156">
        <f t="shared" si="37"/>
        <v>0.72826323692786321</v>
      </c>
      <c r="N156">
        <f t="shared" si="43"/>
        <v>5.1502650869787034</v>
      </c>
      <c r="O156">
        <f t="shared" si="44"/>
        <v>1.7647737169110405</v>
      </c>
    </row>
    <row r="157" spans="1:15">
      <c r="A157">
        <v>1.4325000000000001</v>
      </c>
      <c r="B157">
        <v>59.472999999999999</v>
      </c>
      <c r="C157">
        <f t="shared" si="38"/>
        <v>9.9121666666666659E-4</v>
      </c>
      <c r="D157">
        <f t="shared" si="39"/>
        <v>2.4325000000000001</v>
      </c>
      <c r="E157">
        <f t="shared" si="40"/>
        <v>1.4325000000000001</v>
      </c>
      <c r="F157">
        <f t="shared" si="41"/>
        <v>143250</v>
      </c>
      <c r="G157" s="4">
        <f t="shared" si="33"/>
        <v>6.1434654275395449E-14</v>
      </c>
      <c r="H157" s="4">
        <f t="shared" si="34"/>
        <v>6.2248661345208331E-2</v>
      </c>
      <c r="I157" s="4">
        <f t="shared" si="35"/>
        <v>5.1560946306394273</v>
      </c>
      <c r="J157">
        <f t="shared" si="36"/>
        <v>-1.2058699836160063</v>
      </c>
      <c r="K157">
        <f t="shared" si="42"/>
        <v>0.15609463063942761</v>
      </c>
      <c r="L157">
        <f t="shared" si="42"/>
        <v>1.7743198461936518</v>
      </c>
      <c r="M157">
        <f t="shared" si="37"/>
        <v>0.73126001600214774</v>
      </c>
      <c r="N157">
        <f t="shared" si="43"/>
        <v>5.1560946306394273</v>
      </c>
      <c r="O157">
        <f t="shared" si="44"/>
        <v>1.7743198461936518</v>
      </c>
    </row>
    <row r="158" spans="1:15">
      <c r="A158">
        <v>1.4505999999999999</v>
      </c>
      <c r="B158">
        <v>61.250999999999998</v>
      </c>
      <c r="C158">
        <f t="shared" si="38"/>
        <v>1.02085E-3</v>
      </c>
      <c r="D158">
        <f t="shared" si="39"/>
        <v>2.4505999999999997</v>
      </c>
      <c r="E158">
        <f t="shared" si="40"/>
        <v>1.4505999999999997</v>
      </c>
      <c r="F158">
        <f t="shared" si="41"/>
        <v>145059.99999999997</v>
      </c>
      <c r="G158" s="4">
        <f t="shared" si="33"/>
        <v>6.2481826049606756E-14</v>
      </c>
      <c r="H158" s="4">
        <f t="shared" si="34"/>
        <v>6.3309708109644133E-2</v>
      </c>
      <c r="I158" s="4">
        <f t="shared" si="35"/>
        <v>5.1615476731257273</v>
      </c>
      <c r="J158">
        <f t="shared" si="36"/>
        <v>-1.1985296887951156</v>
      </c>
      <c r="K158">
        <f t="shared" si="42"/>
        <v>0.16154767312572746</v>
      </c>
      <c r="L158">
        <f t="shared" si="42"/>
        <v>1.7871131835008425</v>
      </c>
      <c r="M158">
        <f t="shared" si="37"/>
        <v>0.74165508786799106</v>
      </c>
      <c r="N158">
        <f t="shared" si="43"/>
        <v>5.1615476731257273</v>
      </c>
      <c r="O158">
        <f t="shared" si="44"/>
        <v>1.7871131835008425</v>
      </c>
    </row>
    <row r="159" spans="1:15">
      <c r="A159">
        <v>1.4704999999999999</v>
      </c>
      <c r="B159">
        <v>62.691000000000003</v>
      </c>
      <c r="C159">
        <f t="shared" si="38"/>
        <v>1.0448499999999999E-3</v>
      </c>
      <c r="D159">
        <f t="shared" si="39"/>
        <v>2.4704999999999999</v>
      </c>
      <c r="E159">
        <f t="shared" si="40"/>
        <v>1.4704999999999999</v>
      </c>
      <c r="F159">
        <f t="shared" si="41"/>
        <v>147050</v>
      </c>
      <c r="G159" s="4">
        <f t="shared" si="33"/>
        <v>6.3085328903960427E-14</v>
      </c>
      <c r="H159" s="4">
        <f t="shared" si="34"/>
        <v>6.3921207356195178E-2</v>
      </c>
      <c r="I159" s="4">
        <f t="shared" si="35"/>
        <v>5.1674650288430879</v>
      </c>
      <c r="J159">
        <f t="shared" si="36"/>
        <v>-1.1943550305779631</v>
      </c>
      <c r="K159">
        <f t="shared" si="42"/>
        <v>0.16746502884308812</v>
      </c>
      <c r="L159">
        <f t="shared" si="42"/>
        <v>1.7972051974353558</v>
      </c>
      <c r="M159">
        <f t="shared" si="37"/>
        <v>0.74865580446134306</v>
      </c>
      <c r="N159">
        <f t="shared" si="43"/>
        <v>5.1674650288430879</v>
      </c>
      <c r="O159">
        <f t="shared" si="44"/>
        <v>1.7972051974353558</v>
      </c>
    </row>
    <row r="160" spans="1:15">
      <c r="A160">
        <v>1.4913000000000001</v>
      </c>
      <c r="B160">
        <v>64.447999999999993</v>
      </c>
      <c r="C160">
        <f t="shared" si="38"/>
        <v>1.0741333333333333E-3</v>
      </c>
      <c r="D160">
        <f t="shared" si="39"/>
        <v>2.4912999999999998</v>
      </c>
      <c r="E160">
        <f t="shared" si="40"/>
        <v>1.4912999999999998</v>
      </c>
      <c r="F160">
        <f t="shared" si="41"/>
        <v>149129.99999999997</v>
      </c>
      <c r="G160" s="4">
        <f t="shared" si="33"/>
        <v>6.3948833924593357E-14</v>
      </c>
      <c r="H160" s="4">
        <f t="shared" si="34"/>
        <v>6.479615378884393E-2</v>
      </c>
      <c r="I160" s="4">
        <f t="shared" si="35"/>
        <v>5.1735650178586612</v>
      </c>
      <c r="J160">
        <f t="shared" si="36"/>
        <v>-1.1884507724913869</v>
      </c>
      <c r="K160">
        <f t="shared" si="42"/>
        <v>0.17356501785866163</v>
      </c>
      <c r="L160">
        <f t="shared" si="42"/>
        <v>1.8092094445375051</v>
      </c>
      <c r="M160">
        <f t="shared" si="37"/>
        <v>0.75428302025345895</v>
      </c>
      <c r="N160">
        <f t="shared" si="43"/>
        <v>5.1735650178586612</v>
      </c>
      <c r="O160">
        <f t="shared" si="44"/>
        <v>1.8092094445375051</v>
      </c>
    </row>
    <row r="162" spans="1:12">
      <c r="A162" s="6" t="s">
        <v>43</v>
      </c>
    </row>
    <row r="163" spans="1:12">
      <c r="A163" s="2" t="s">
        <v>26</v>
      </c>
    </row>
    <row r="164" spans="1:12">
      <c r="A164" s="1" t="s">
        <v>27</v>
      </c>
    </row>
    <row r="165" spans="1:12">
      <c r="A165" t="s">
        <v>28</v>
      </c>
      <c r="B165" t="s">
        <v>29</v>
      </c>
      <c r="C165" t="s">
        <v>30</v>
      </c>
      <c r="D165" t="s">
        <v>31</v>
      </c>
      <c r="E165" s="3" t="s">
        <v>32</v>
      </c>
      <c r="F165" s="3" t="s">
        <v>33</v>
      </c>
      <c r="G165" s="4" t="s">
        <v>34</v>
      </c>
      <c r="H165" s="5" t="s">
        <v>35</v>
      </c>
      <c r="I165" s="5" t="s">
        <v>36</v>
      </c>
      <c r="J165" s="5" t="s">
        <v>37</v>
      </c>
      <c r="K165" s="5" t="s">
        <v>38</v>
      </c>
      <c r="L165" s="5" t="s">
        <v>39</v>
      </c>
    </row>
    <row r="166" spans="1:12">
      <c r="A166">
        <v>1.2342</v>
      </c>
      <c r="B166">
        <v>67.415000000000006</v>
      </c>
      <c r="C166">
        <f t="shared" ref="C166:C179" si="45">B166/(1000*60)</f>
        <v>1.1235833333333334E-3</v>
      </c>
      <c r="D166">
        <f t="shared" ref="D166:D179" si="46">A166+1</f>
        <v>2.2342</v>
      </c>
      <c r="E166">
        <f t="shared" ref="E166:E179" si="47">D166-1</f>
        <v>1.2342</v>
      </c>
      <c r="F166">
        <f t="shared" ref="F166:F179" si="48">E166*100000</f>
        <v>123420</v>
      </c>
      <c r="G166" s="4">
        <f t="shared" ref="G166:G179" si="49">(0.00001781*0.000134*C166)/(0.0002688*F166)</f>
        <v>8.0827509974088369E-14</v>
      </c>
      <c r="H166" s="4">
        <f t="shared" ref="H166:H179" si="50">G166/(0.0000000000009869233)</f>
        <v>8.1898471719219074E-2</v>
      </c>
      <c r="I166" s="4">
        <f t="shared" ref="I166:I179" si="51">LOG(F166)</f>
        <v>5.0913855420783678</v>
      </c>
      <c r="J166">
        <f t="shared" ref="J166:J179" si="52">LOG(H166)</f>
        <v>-1.0867242023922394</v>
      </c>
      <c r="K166">
        <f t="shared" ref="K166:L179" si="53">LOG(A166)</f>
        <v>9.1385542078367632E-2</v>
      </c>
      <c r="L166">
        <f t="shared" si="53"/>
        <v>1.8287565388563587</v>
      </c>
    </row>
    <row r="167" spans="1:12">
      <c r="A167" s="1">
        <v>1.2555000000000001</v>
      </c>
      <c r="B167" s="1">
        <v>68.488</v>
      </c>
      <c r="C167" s="1">
        <f t="shared" si="45"/>
        <v>1.1414666666666666E-3</v>
      </c>
      <c r="D167" s="1">
        <f t="shared" si="46"/>
        <v>2.2555000000000001</v>
      </c>
      <c r="E167" s="1">
        <f t="shared" si="47"/>
        <v>1.2555000000000001</v>
      </c>
      <c r="F167" s="1">
        <f t="shared" si="48"/>
        <v>125550</v>
      </c>
      <c r="G167" s="1">
        <f t="shared" si="49"/>
        <v>8.0720895282977135E-14</v>
      </c>
      <c r="H167" s="1">
        <f t="shared" si="50"/>
        <v>8.1790444387093833E-2</v>
      </c>
      <c r="I167" s="1">
        <f t="shared" si="51"/>
        <v>5.0988167170489413</v>
      </c>
      <c r="J167" s="1">
        <f t="shared" si="52"/>
        <v>-1.087297432176686</v>
      </c>
      <c r="K167" s="1">
        <f t="shared" si="53"/>
        <v>9.8816717048941252E-2</v>
      </c>
      <c r="L167" s="1">
        <f t="shared" si="53"/>
        <v>1.8356144840424859</v>
      </c>
    </row>
    <row r="168" spans="1:12">
      <c r="A168">
        <v>1.2722</v>
      </c>
      <c r="B168">
        <v>69.978999999999999</v>
      </c>
      <c r="C168">
        <f t="shared" si="45"/>
        <v>1.1663166666666667E-3</v>
      </c>
      <c r="D168">
        <f t="shared" si="46"/>
        <v>2.2721999999999998</v>
      </c>
      <c r="E168">
        <f t="shared" si="47"/>
        <v>1.2721999999999998</v>
      </c>
      <c r="F168">
        <f t="shared" si="48"/>
        <v>127219.99999999997</v>
      </c>
      <c r="G168" s="4">
        <f t="shared" si="49"/>
        <v>8.1395527855835956E-14</v>
      </c>
      <c r="H168" s="4">
        <f t="shared" si="50"/>
        <v>8.2474015818489593E-2</v>
      </c>
      <c r="I168" s="4">
        <f t="shared" si="51"/>
        <v>5.1045553912405133</v>
      </c>
      <c r="J168">
        <f t="shared" si="52"/>
        <v>-1.0836828582882194</v>
      </c>
      <c r="K168">
        <f t="shared" si="53"/>
        <v>0.10455539124051359</v>
      </c>
      <c r="L168">
        <f t="shared" si="53"/>
        <v>1.8449677321225246</v>
      </c>
    </row>
    <row r="169" spans="1:12">
      <c r="A169">
        <v>1.292</v>
      </c>
      <c r="B169">
        <v>71.337000000000003</v>
      </c>
      <c r="C169">
        <f t="shared" si="45"/>
        <v>1.18895E-3</v>
      </c>
      <c r="D169">
        <f t="shared" si="46"/>
        <v>2.2919999999999998</v>
      </c>
      <c r="E169">
        <f t="shared" si="47"/>
        <v>1.2919999999999998</v>
      </c>
      <c r="F169">
        <f t="shared" si="48"/>
        <v>129199.99999999999</v>
      </c>
      <c r="G169" s="4">
        <f t="shared" si="49"/>
        <v>8.1703475514383412E-14</v>
      </c>
      <c r="H169" s="4">
        <f t="shared" si="50"/>
        <v>8.2786043772989662E-2</v>
      </c>
      <c r="I169" s="4">
        <f t="shared" si="51"/>
        <v>5.1112625136590655</v>
      </c>
      <c r="J169">
        <f t="shared" si="52"/>
        <v>-1.0820428712253485</v>
      </c>
      <c r="K169">
        <f t="shared" si="53"/>
        <v>0.1112625136590653</v>
      </c>
      <c r="L169">
        <f t="shared" si="53"/>
        <v>1.8533148416039473</v>
      </c>
    </row>
    <row r="170" spans="1:12">
      <c r="A170">
        <v>1.3113999999999999</v>
      </c>
      <c r="B170">
        <v>72.914000000000001</v>
      </c>
      <c r="C170">
        <f t="shared" si="45"/>
        <v>1.2152333333333334E-3</v>
      </c>
      <c r="D170">
        <f t="shared" si="46"/>
        <v>2.3113999999999999</v>
      </c>
      <c r="E170">
        <f t="shared" si="47"/>
        <v>1.3113999999999999</v>
      </c>
      <c r="F170">
        <f t="shared" si="48"/>
        <v>131140</v>
      </c>
      <c r="G170" s="4">
        <f t="shared" si="49"/>
        <v>8.2274252960455473E-14</v>
      </c>
      <c r="H170" s="4">
        <f t="shared" si="50"/>
        <v>8.3364384000717648E-2</v>
      </c>
      <c r="I170" s="4">
        <f t="shared" si="51"/>
        <v>5.1177351793304968</v>
      </c>
      <c r="J170">
        <f t="shared" si="52"/>
        <v>-1.0790194545860974</v>
      </c>
      <c r="K170">
        <f t="shared" si="53"/>
        <v>0.1177351793304965</v>
      </c>
      <c r="L170">
        <f t="shared" si="53"/>
        <v>1.8628109239146298</v>
      </c>
    </row>
    <row r="171" spans="1:12">
      <c r="A171">
        <v>1.3324</v>
      </c>
      <c r="B171">
        <v>74.209999999999994</v>
      </c>
      <c r="C171">
        <f t="shared" si="45"/>
        <v>1.2368333333333333E-3</v>
      </c>
      <c r="D171">
        <f t="shared" si="46"/>
        <v>2.3323999999999998</v>
      </c>
      <c r="E171">
        <f t="shared" si="47"/>
        <v>1.3323999999999998</v>
      </c>
      <c r="F171">
        <f t="shared" si="48"/>
        <v>133239.99999999997</v>
      </c>
      <c r="G171" s="4">
        <f t="shared" si="49"/>
        <v>8.2416849811981519E-14</v>
      </c>
      <c r="H171" s="4">
        <f t="shared" si="50"/>
        <v>8.3508870255653622E-2</v>
      </c>
      <c r="I171" s="4">
        <f t="shared" si="51"/>
        <v>5.1246346240191389</v>
      </c>
      <c r="J171">
        <f t="shared" si="52"/>
        <v>-1.0782673916004497</v>
      </c>
      <c r="K171">
        <f t="shared" si="53"/>
        <v>0.1246346240191392</v>
      </c>
      <c r="L171">
        <f t="shared" si="53"/>
        <v>1.87046243158892</v>
      </c>
    </row>
    <row r="172" spans="1:12">
      <c r="A172">
        <v>1.3512999999999999</v>
      </c>
      <c r="B172">
        <v>75.769000000000005</v>
      </c>
      <c r="C172">
        <f t="shared" si="45"/>
        <v>1.2628166666666667E-3</v>
      </c>
      <c r="D172">
        <f t="shared" si="46"/>
        <v>2.3513000000000002</v>
      </c>
      <c r="E172">
        <f t="shared" si="47"/>
        <v>1.3513000000000002</v>
      </c>
      <c r="F172">
        <f t="shared" si="48"/>
        <v>135130.00000000003</v>
      </c>
      <c r="G172" s="4">
        <f t="shared" si="49"/>
        <v>8.2971316632998325E-14</v>
      </c>
      <c r="H172" s="4">
        <f t="shared" si="50"/>
        <v>8.407068374310174E-2</v>
      </c>
      <c r="I172" s="4">
        <f t="shared" si="51"/>
        <v>5.1307517767651429</v>
      </c>
      <c r="J172">
        <f t="shared" si="52"/>
        <v>-1.0753554204709233</v>
      </c>
      <c r="K172">
        <f t="shared" si="53"/>
        <v>0.13075177676514291</v>
      </c>
      <c r="L172">
        <f t="shared" si="53"/>
        <v>1.8794915554644502</v>
      </c>
    </row>
    <row r="173" spans="1:12">
      <c r="A173">
        <v>1.3752</v>
      </c>
      <c r="B173">
        <v>77.006</v>
      </c>
      <c r="C173">
        <f t="shared" si="45"/>
        <v>1.2834333333333334E-3</v>
      </c>
      <c r="D173">
        <f t="shared" si="46"/>
        <v>2.3752</v>
      </c>
      <c r="E173">
        <f t="shared" si="47"/>
        <v>1.3752</v>
      </c>
      <c r="F173">
        <f t="shared" si="48"/>
        <v>137520</v>
      </c>
      <c r="G173" s="4">
        <f t="shared" si="49"/>
        <v>8.2860376892509739E-14</v>
      </c>
      <c r="H173" s="4">
        <f t="shared" si="50"/>
        <v>8.3958274054842699E-2</v>
      </c>
      <c r="I173" s="4">
        <f t="shared" si="51"/>
        <v>5.1383658636789962</v>
      </c>
      <c r="J173">
        <f t="shared" si="52"/>
        <v>-1.0759364978667016</v>
      </c>
      <c r="K173">
        <f t="shared" si="53"/>
        <v>0.138365863678996</v>
      </c>
      <c r="L173">
        <f t="shared" si="53"/>
        <v>1.8865245649825249</v>
      </c>
    </row>
    <row r="174" spans="1:12">
      <c r="A174">
        <v>1.3912</v>
      </c>
      <c r="B174">
        <v>78.424000000000007</v>
      </c>
      <c r="C174">
        <f t="shared" si="45"/>
        <v>1.3070666666666667E-3</v>
      </c>
      <c r="D174">
        <f t="shared" si="46"/>
        <v>2.3912</v>
      </c>
      <c r="E174">
        <f t="shared" si="47"/>
        <v>1.3912</v>
      </c>
      <c r="F174">
        <f t="shared" si="48"/>
        <v>139120</v>
      </c>
      <c r="G174" s="4">
        <f t="shared" si="49"/>
        <v>8.3415666402534778E-14</v>
      </c>
      <c r="H174" s="4">
        <f t="shared" si="50"/>
        <v>8.4520921131900295E-2</v>
      </c>
      <c r="I174" s="4">
        <f t="shared" si="51"/>
        <v>5.1433895689946558</v>
      </c>
      <c r="J174">
        <f t="shared" si="52"/>
        <v>-1.0730357785349927</v>
      </c>
      <c r="K174">
        <f t="shared" si="53"/>
        <v>0.14338956899465605</v>
      </c>
      <c r="L174">
        <f t="shared" si="53"/>
        <v>1.8944489896298939</v>
      </c>
    </row>
    <row r="175" spans="1:12">
      <c r="A175">
        <v>1.4136</v>
      </c>
      <c r="B175">
        <v>79.900000000000006</v>
      </c>
      <c r="C175">
        <f t="shared" si="45"/>
        <v>1.3316666666666668E-3</v>
      </c>
      <c r="D175">
        <f t="shared" si="46"/>
        <v>2.4135999999999997</v>
      </c>
      <c r="E175">
        <f t="shared" si="47"/>
        <v>1.4135999999999997</v>
      </c>
      <c r="F175">
        <f t="shared" si="48"/>
        <v>141359.99999999997</v>
      </c>
      <c r="G175" s="4">
        <f t="shared" si="49"/>
        <v>8.363892569826227E-14</v>
      </c>
      <c r="H175" s="4">
        <f t="shared" si="50"/>
        <v>8.4747138605666988E-2</v>
      </c>
      <c r="I175" s="4">
        <f t="shared" si="51"/>
        <v>5.1503265364987074</v>
      </c>
      <c r="J175">
        <f t="shared" si="52"/>
        <v>-1.0718749563549468</v>
      </c>
      <c r="K175">
        <f t="shared" si="53"/>
        <v>0.15032653649870764</v>
      </c>
      <c r="L175">
        <f t="shared" si="53"/>
        <v>1.9025467793139914</v>
      </c>
    </row>
    <row r="176" spans="1:12">
      <c r="A176">
        <v>1.4311</v>
      </c>
      <c r="B176">
        <v>81.25</v>
      </c>
      <c r="C176">
        <f t="shared" si="45"/>
        <v>1.3541666666666667E-3</v>
      </c>
      <c r="D176">
        <f t="shared" si="46"/>
        <v>2.4310999999999998</v>
      </c>
      <c r="E176">
        <f t="shared" si="47"/>
        <v>1.4310999999999998</v>
      </c>
      <c r="F176">
        <f t="shared" si="48"/>
        <v>143109.99999999997</v>
      </c>
      <c r="G176" s="4">
        <f t="shared" si="49"/>
        <v>8.4012051706673668E-14</v>
      </c>
      <c r="H176" s="4">
        <f t="shared" si="50"/>
        <v>8.5125208520939424E-2</v>
      </c>
      <c r="I176" s="4">
        <f t="shared" si="51"/>
        <v>5.1556699817198108</v>
      </c>
      <c r="J176">
        <f t="shared" si="52"/>
        <v>-1.0699418112391299</v>
      </c>
      <c r="K176">
        <f t="shared" si="53"/>
        <v>0.15566998171981131</v>
      </c>
      <c r="L176">
        <f t="shared" si="53"/>
        <v>1.9098233696509119</v>
      </c>
    </row>
    <row r="177" spans="1:13">
      <c r="A177">
        <v>1.4521999999999999</v>
      </c>
      <c r="B177">
        <v>82.677999999999997</v>
      </c>
      <c r="C177">
        <f t="shared" si="45"/>
        <v>1.3779666666666665E-3</v>
      </c>
      <c r="D177">
        <f t="shared" si="46"/>
        <v>2.4521999999999999</v>
      </c>
      <c r="E177">
        <f t="shared" si="47"/>
        <v>1.4521999999999999</v>
      </c>
      <c r="F177">
        <f t="shared" si="48"/>
        <v>145220</v>
      </c>
      <c r="G177" s="4">
        <f t="shared" si="49"/>
        <v>8.4246473963012898E-14</v>
      </c>
      <c r="H177" s="4">
        <f t="shared" si="50"/>
        <v>8.5362736864164512E-2</v>
      </c>
      <c r="I177" s="4">
        <f t="shared" si="51"/>
        <v>5.1620264324211771</v>
      </c>
      <c r="J177">
        <f t="shared" si="52"/>
        <v>-1.0687316691933582</v>
      </c>
      <c r="K177">
        <f t="shared" si="53"/>
        <v>0.16202643242117698</v>
      </c>
      <c r="L177">
        <f t="shared" si="53"/>
        <v>1.9173899623980493</v>
      </c>
    </row>
    <row r="178" spans="1:13">
      <c r="A178">
        <v>1.4738</v>
      </c>
      <c r="B178">
        <v>83.926000000000002</v>
      </c>
      <c r="C178">
        <f t="shared" si="45"/>
        <v>1.3987666666666666E-3</v>
      </c>
      <c r="D178">
        <f t="shared" si="46"/>
        <v>2.4737999999999998</v>
      </c>
      <c r="E178">
        <f t="shared" si="47"/>
        <v>1.4737999999999998</v>
      </c>
      <c r="F178">
        <f t="shared" si="48"/>
        <v>147379.99999999997</v>
      </c>
      <c r="G178" s="4">
        <f t="shared" si="49"/>
        <v>8.4264796356384682E-14</v>
      </c>
      <c r="H178" s="4">
        <f t="shared" si="50"/>
        <v>8.5381302028622361E-2</v>
      </c>
      <c r="I178" s="4">
        <f t="shared" si="51"/>
        <v>5.168438552186772</v>
      </c>
      <c r="J178">
        <f t="shared" si="52"/>
        <v>-1.0686372266750281</v>
      </c>
      <c r="K178">
        <f t="shared" si="53"/>
        <v>0.16843855218677245</v>
      </c>
      <c r="L178">
        <f t="shared" si="53"/>
        <v>1.9238965246819748</v>
      </c>
    </row>
    <row r="179" spans="1:13">
      <c r="A179">
        <v>1.4912000000000001</v>
      </c>
      <c r="B179">
        <v>85.436999999999998</v>
      </c>
      <c r="C179">
        <f t="shared" si="45"/>
        <v>1.42395E-3</v>
      </c>
      <c r="D179">
        <f t="shared" si="46"/>
        <v>2.4912000000000001</v>
      </c>
      <c r="E179">
        <f t="shared" si="47"/>
        <v>1.4912000000000001</v>
      </c>
      <c r="F179">
        <f t="shared" si="48"/>
        <v>149120</v>
      </c>
      <c r="G179" s="4">
        <f t="shared" si="49"/>
        <v>8.4780953842902186E-14</v>
      </c>
      <c r="H179" s="4">
        <f t="shared" si="50"/>
        <v>8.5904298584198166E-2</v>
      </c>
      <c r="I179" s="4">
        <f t="shared" si="51"/>
        <v>5.1735358950099064</v>
      </c>
      <c r="J179">
        <f t="shared" si="52"/>
        <v>-1.0659851038673771</v>
      </c>
      <c r="K179">
        <f t="shared" si="53"/>
        <v>0.17353589500990615</v>
      </c>
      <c r="L179">
        <f t="shared" si="53"/>
        <v>1.9316459903127594</v>
      </c>
    </row>
    <row r="181" spans="1:13">
      <c r="A181" s="1" t="s">
        <v>43</v>
      </c>
    </row>
    <row r="182" spans="1:13">
      <c r="A182" t="s">
        <v>44</v>
      </c>
      <c r="B182" t="s">
        <v>45</v>
      </c>
      <c r="C182" t="s">
        <v>30</v>
      </c>
      <c r="D182" t="s">
        <v>31</v>
      </c>
      <c r="E182" s="3" t="s">
        <v>32</v>
      </c>
      <c r="F182" s="3" t="s">
        <v>33</v>
      </c>
      <c r="G182" s="4" t="s">
        <v>34</v>
      </c>
      <c r="H182" s="5" t="s">
        <v>35</v>
      </c>
      <c r="I182" s="5" t="s">
        <v>36</v>
      </c>
      <c r="J182" s="5" t="s">
        <v>37</v>
      </c>
      <c r="K182" s="5" t="s">
        <v>38</v>
      </c>
      <c r="L182" s="5" t="s">
        <v>39</v>
      </c>
      <c r="M182" s="5" t="s">
        <v>46</v>
      </c>
    </row>
    <row r="183" spans="1:13">
      <c r="A183" s="1">
        <v>1.2323999999999999</v>
      </c>
      <c r="B183" s="1">
        <v>46.088000000000001</v>
      </c>
      <c r="C183">
        <f t="shared" ref="C183:C196" si="54">B183/(1000*60)</f>
        <v>7.6813333333333332E-4</v>
      </c>
      <c r="D183">
        <f t="shared" ref="D183:D196" si="55">A183+1</f>
        <v>2.2324000000000002</v>
      </c>
      <c r="E183">
        <f t="shared" ref="E183:E196" si="56">D183-1</f>
        <v>1.2324000000000002</v>
      </c>
      <c r="F183">
        <f t="shared" ref="F183:F196" si="57">E183*100000</f>
        <v>123240.00000000001</v>
      </c>
      <c r="G183" s="4">
        <f t="shared" ref="G183:G196" si="58">(0.00001781*0.000134*C183)/(0.0002688*F183)</f>
        <v>5.5338116795593069E-14</v>
      </c>
      <c r="H183" s="4">
        <f t="shared" ref="H183:H196" si="59">G183/(0.0000000000009869233)</f>
        <v>5.6071344952128566E-2</v>
      </c>
      <c r="I183" s="4">
        <f t="shared" ref="I183:I196" si="60">LOG(F183)</f>
        <v>5.090751689644903</v>
      </c>
      <c r="J183">
        <f t="shared" ref="J183:J196" si="61">LOG(H183)</f>
        <v>-1.2512590265966634</v>
      </c>
      <c r="K183">
        <f t="shared" ref="K183:L196" si="62">LOG(A183)</f>
        <v>9.0751689644903002E-2</v>
      </c>
      <c r="L183">
        <f t="shared" si="62"/>
        <v>1.6635878622184703</v>
      </c>
      <c r="M183">
        <f>G183/G166</f>
        <v>0.68464458218907553</v>
      </c>
    </row>
    <row r="184" spans="1:13">
      <c r="A184">
        <v>1.2519</v>
      </c>
      <c r="B184">
        <v>47.828000000000003</v>
      </c>
      <c r="C184" s="1">
        <f t="shared" si="54"/>
        <v>7.9713333333333337E-4</v>
      </c>
      <c r="D184" s="1">
        <f t="shared" si="55"/>
        <v>2.2519</v>
      </c>
      <c r="E184" s="1">
        <f t="shared" si="56"/>
        <v>1.2519</v>
      </c>
      <c r="F184" s="1">
        <f t="shared" si="57"/>
        <v>125190</v>
      </c>
      <c r="G184" s="1">
        <f t="shared" si="58"/>
        <v>5.6532837507623341E-14</v>
      </c>
      <c r="H184" s="1">
        <f t="shared" si="59"/>
        <v>5.7281895672767411E-2</v>
      </c>
      <c r="I184" s="1">
        <f t="shared" si="60"/>
        <v>5.097569639431371</v>
      </c>
      <c r="J184" s="1">
        <f t="shared" si="61"/>
        <v>-1.24198261802912</v>
      </c>
      <c r="K184" s="1">
        <f t="shared" si="62"/>
        <v>9.7569639431371286E-2</v>
      </c>
      <c r="L184" s="1">
        <f t="shared" si="62"/>
        <v>1.679682220572482</v>
      </c>
      <c r="M184">
        <f t="shared" ref="M184:M196" si="63">G184/G167</f>
        <v>0.7003494858356123</v>
      </c>
    </row>
    <row r="185" spans="1:13">
      <c r="A185">
        <v>1.2727999999999999</v>
      </c>
      <c r="B185">
        <v>49.258000000000003</v>
      </c>
      <c r="C185">
        <f t="shared" si="54"/>
        <v>8.2096666666666676E-4</v>
      </c>
      <c r="D185">
        <f t="shared" si="55"/>
        <v>2.2728000000000002</v>
      </c>
      <c r="E185">
        <f t="shared" si="56"/>
        <v>1.2728000000000002</v>
      </c>
      <c r="F185">
        <f t="shared" si="57"/>
        <v>127280.00000000001</v>
      </c>
      <c r="G185" s="4">
        <f t="shared" si="58"/>
        <v>5.7267049863661428E-14</v>
      </c>
      <c r="H185" s="4">
        <f t="shared" si="59"/>
        <v>5.8025836317433604E-2</v>
      </c>
      <c r="I185" s="4">
        <f t="shared" si="60"/>
        <v>5.1047601666385249</v>
      </c>
      <c r="J185">
        <f t="shared" si="61"/>
        <v>-1.2363785914075192</v>
      </c>
      <c r="K185">
        <f t="shared" si="62"/>
        <v>0.10476016663852508</v>
      </c>
      <c r="L185">
        <f t="shared" si="62"/>
        <v>1.6924767744012366</v>
      </c>
      <c r="M185">
        <f t="shared" si="63"/>
        <v>0.70356506520960482</v>
      </c>
    </row>
    <row r="186" spans="1:13">
      <c r="A186">
        <v>1.2926</v>
      </c>
      <c r="B186">
        <v>50.552</v>
      </c>
      <c r="C186">
        <f t="shared" si="54"/>
        <v>8.4253333333333329E-4</v>
      </c>
      <c r="D186">
        <f t="shared" si="55"/>
        <v>2.2926000000000002</v>
      </c>
      <c r="E186">
        <f t="shared" si="56"/>
        <v>1.2926000000000002</v>
      </c>
      <c r="F186">
        <f t="shared" si="57"/>
        <v>129260.00000000001</v>
      </c>
      <c r="G186" s="4">
        <f t="shared" si="58"/>
        <v>5.7871187470681714E-14</v>
      </c>
      <c r="H186" s="4">
        <f t="shared" si="59"/>
        <v>5.8637978727102406E-2</v>
      </c>
      <c r="I186" s="4">
        <f t="shared" si="60"/>
        <v>5.1114641515866541</v>
      </c>
      <c r="J186">
        <f t="shared" si="61"/>
        <v>-1.2318210084009529</v>
      </c>
      <c r="K186">
        <f t="shared" si="62"/>
        <v>0.11146415158665396</v>
      </c>
      <c r="L186">
        <f t="shared" si="62"/>
        <v>1.7037383423559316</v>
      </c>
      <c r="M186">
        <f t="shared" si="63"/>
        <v>0.7083075365685495</v>
      </c>
    </row>
    <row r="187" spans="1:13">
      <c r="A187">
        <v>1.3110999999999999</v>
      </c>
      <c r="B187">
        <v>51.655999999999999</v>
      </c>
      <c r="C187">
        <f t="shared" si="54"/>
        <v>8.609333333333333E-4</v>
      </c>
      <c r="D187">
        <f t="shared" si="55"/>
        <v>2.3110999999999997</v>
      </c>
      <c r="E187">
        <f t="shared" si="56"/>
        <v>1.3110999999999997</v>
      </c>
      <c r="F187">
        <f t="shared" si="57"/>
        <v>131109.99999999997</v>
      </c>
      <c r="G187" s="4">
        <f t="shared" si="58"/>
        <v>5.83006180893785E-14</v>
      </c>
      <c r="H187" s="4">
        <f t="shared" si="59"/>
        <v>5.9073099286822486E-2</v>
      </c>
      <c r="I187" s="4">
        <f t="shared" si="60"/>
        <v>5.1176358173894938</v>
      </c>
      <c r="J187">
        <f t="shared" si="61"/>
        <v>-1.2286102431619417</v>
      </c>
      <c r="K187">
        <f t="shared" si="62"/>
        <v>0.11763581738949418</v>
      </c>
      <c r="L187">
        <f t="shared" si="62"/>
        <v>1.7131207733977831</v>
      </c>
      <c r="M187">
        <f t="shared" si="63"/>
        <v>0.70861315650474843</v>
      </c>
    </row>
    <row r="188" spans="1:13">
      <c r="A188">
        <v>1.3326</v>
      </c>
      <c r="B188">
        <v>53.100999999999999</v>
      </c>
      <c r="C188">
        <f t="shared" si="54"/>
        <v>8.8501666666666661E-4</v>
      </c>
      <c r="D188">
        <f t="shared" si="55"/>
        <v>2.3326000000000002</v>
      </c>
      <c r="E188">
        <f t="shared" si="56"/>
        <v>1.3326000000000002</v>
      </c>
      <c r="F188">
        <f t="shared" si="57"/>
        <v>133260.00000000003</v>
      </c>
      <c r="G188" s="4">
        <f t="shared" si="58"/>
        <v>5.8964564318038608E-14</v>
      </c>
      <c r="H188" s="4">
        <f t="shared" si="59"/>
        <v>5.974584278032407E-2</v>
      </c>
      <c r="I188" s="4">
        <f t="shared" si="60"/>
        <v>5.1246998089321174</v>
      </c>
      <c r="J188">
        <f t="shared" si="61"/>
        <v>-1.2236923082940891</v>
      </c>
      <c r="K188">
        <f t="shared" si="62"/>
        <v>0.12469980893211759</v>
      </c>
      <c r="L188">
        <f t="shared" si="62"/>
        <v>1.725102699808259</v>
      </c>
      <c r="M188">
        <f t="shared" si="63"/>
        <v>0.71544307326177992</v>
      </c>
    </row>
    <row r="189" spans="1:13">
      <c r="A189">
        <v>1.3514999999999999</v>
      </c>
      <c r="B189">
        <v>54.36</v>
      </c>
      <c r="C189">
        <f t="shared" si="54"/>
        <v>9.0600000000000001E-4</v>
      </c>
      <c r="D189">
        <f t="shared" si="55"/>
        <v>2.3514999999999997</v>
      </c>
      <c r="E189">
        <f t="shared" si="56"/>
        <v>1.3514999999999997</v>
      </c>
      <c r="F189">
        <f t="shared" si="57"/>
        <v>135149.99999999997</v>
      </c>
      <c r="G189" s="4">
        <f t="shared" si="58"/>
        <v>5.9518448417102716E-14</v>
      </c>
      <c r="H189" s="4">
        <f t="shared" si="59"/>
        <v>6.0307065824773527E-2</v>
      </c>
      <c r="I189" s="4">
        <f t="shared" si="60"/>
        <v>5.1308160500347437</v>
      </c>
      <c r="J189">
        <f t="shared" si="61"/>
        <v>-1.219631801144518</v>
      </c>
      <c r="K189">
        <f t="shared" si="62"/>
        <v>0.1308160500347442</v>
      </c>
      <c r="L189">
        <f t="shared" si="62"/>
        <v>1.7352794480604568</v>
      </c>
      <c r="M189">
        <f t="shared" si="63"/>
        <v>0.71733763946843021</v>
      </c>
    </row>
    <row r="190" spans="1:13">
      <c r="A190">
        <v>1.3722000000000001</v>
      </c>
      <c r="B190">
        <v>55.51</v>
      </c>
      <c r="C190">
        <f t="shared" si="54"/>
        <v>9.2516666666666659E-4</v>
      </c>
      <c r="D190">
        <f t="shared" si="55"/>
        <v>2.3722000000000003</v>
      </c>
      <c r="E190">
        <f t="shared" si="56"/>
        <v>1.3722000000000003</v>
      </c>
      <c r="F190">
        <f t="shared" si="57"/>
        <v>137220.00000000003</v>
      </c>
      <c r="G190" s="4">
        <f t="shared" si="58"/>
        <v>5.9860730917707164E-14</v>
      </c>
      <c r="H190" s="4">
        <f t="shared" si="59"/>
        <v>6.0653883556814558E-2</v>
      </c>
      <c r="I190" s="4">
        <f t="shared" si="60"/>
        <v>5.1374174149903924</v>
      </c>
      <c r="J190">
        <f t="shared" si="61"/>
        <v>-1.2171413868287622</v>
      </c>
      <c r="K190">
        <f t="shared" si="62"/>
        <v>0.13741741499039214</v>
      </c>
      <c r="L190">
        <f t="shared" si="62"/>
        <v>1.7443712273318606</v>
      </c>
      <c r="M190">
        <f t="shared" si="63"/>
        <v>0.72242889982700942</v>
      </c>
    </row>
    <row r="191" spans="1:13">
      <c r="A191">
        <v>1.3942000000000001</v>
      </c>
      <c r="B191">
        <v>56.938000000000002</v>
      </c>
      <c r="C191">
        <f t="shared" si="54"/>
        <v>9.4896666666666673E-4</v>
      </c>
      <c r="D191">
        <f t="shared" si="55"/>
        <v>2.3942000000000001</v>
      </c>
      <c r="E191">
        <f t="shared" si="56"/>
        <v>1.3942000000000001</v>
      </c>
      <c r="F191">
        <f t="shared" si="57"/>
        <v>139420</v>
      </c>
      <c r="G191" s="4">
        <f t="shared" si="58"/>
        <v>6.0431772526857313E-14</v>
      </c>
      <c r="H191" s="4">
        <f t="shared" si="59"/>
        <v>6.1232491447772396E-2</v>
      </c>
      <c r="I191" s="4">
        <f t="shared" si="60"/>
        <v>5.1443250784004881</v>
      </c>
      <c r="J191">
        <f t="shared" si="61"/>
        <v>-1.2130180694878931</v>
      </c>
      <c r="K191">
        <f t="shared" si="62"/>
        <v>0.14432507840048833</v>
      </c>
      <c r="L191">
        <f t="shared" si="62"/>
        <v>1.7554022080828255</v>
      </c>
      <c r="M191">
        <f t="shared" si="63"/>
        <v>0.72446550070384563</v>
      </c>
    </row>
    <row r="192" spans="1:13">
      <c r="A192">
        <v>1.4134</v>
      </c>
      <c r="B192">
        <v>58.18</v>
      </c>
      <c r="C192">
        <f t="shared" si="54"/>
        <v>9.6966666666666664E-4</v>
      </c>
      <c r="D192">
        <f t="shared" si="55"/>
        <v>2.4134000000000002</v>
      </c>
      <c r="E192">
        <f t="shared" si="56"/>
        <v>1.4134000000000002</v>
      </c>
      <c r="F192">
        <f t="shared" si="57"/>
        <v>141340.00000000003</v>
      </c>
      <c r="G192" s="4">
        <f t="shared" si="58"/>
        <v>6.0911154762185526E-14</v>
      </c>
      <c r="H192" s="4">
        <f t="shared" si="59"/>
        <v>6.1718225481337326E-2</v>
      </c>
      <c r="I192" s="4">
        <f t="shared" si="60"/>
        <v>5.1502650869787034</v>
      </c>
      <c r="J192">
        <f t="shared" si="61"/>
        <v>-1.209586569237894</v>
      </c>
      <c r="K192">
        <f t="shared" si="62"/>
        <v>0.15026508697870372</v>
      </c>
      <c r="L192">
        <f t="shared" si="62"/>
        <v>1.7647737169110405</v>
      </c>
      <c r="M192">
        <f t="shared" si="63"/>
        <v>0.72826323692786321</v>
      </c>
    </row>
    <row r="193" spans="1:66">
      <c r="A193">
        <v>1.4325000000000001</v>
      </c>
      <c r="B193">
        <v>59.472999999999999</v>
      </c>
      <c r="C193">
        <f t="shared" si="54"/>
        <v>9.9121666666666659E-4</v>
      </c>
      <c r="D193">
        <f t="shared" si="55"/>
        <v>2.4325000000000001</v>
      </c>
      <c r="E193">
        <f t="shared" si="56"/>
        <v>1.4325000000000001</v>
      </c>
      <c r="F193">
        <f t="shared" si="57"/>
        <v>143250</v>
      </c>
      <c r="G193" s="4">
        <f t="shared" si="58"/>
        <v>6.1434654275395449E-14</v>
      </c>
      <c r="H193" s="4">
        <f t="shared" si="59"/>
        <v>6.2248661345208331E-2</v>
      </c>
      <c r="I193" s="4">
        <f t="shared" si="60"/>
        <v>5.1560946306394273</v>
      </c>
      <c r="J193">
        <f t="shared" si="61"/>
        <v>-1.2058699836160063</v>
      </c>
      <c r="K193">
        <f t="shared" si="62"/>
        <v>0.15609463063942761</v>
      </c>
      <c r="L193">
        <f t="shared" si="62"/>
        <v>1.7743198461936518</v>
      </c>
      <c r="M193">
        <f t="shared" si="63"/>
        <v>0.73126001600214774</v>
      </c>
    </row>
    <row r="194" spans="1:66">
      <c r="A194">
        <v>1.4505999999999999</v>
      </c>
      <c r="B194">
        <v>61.250999999999998</v>
      </c>
      <c r="C194">
        <f t="shared" si="54"/>
        <v>1.02085E-3</v>
      </c>
      <c r="D194">
        <f t="shared" si="55"/>
        <v>2.4505999999999997</v>
      </c>
      <c r="E194">
        <f t="shared" si="56"/>
        <v>1.4505999999999997</v>
      </c>
      <c r="F194">
        <f t="shared" si="57"/>
        <v>145059.99999999997</v>
      </c>
      <c r="G194" s="4">
        <f t="shared" si="58"/>
        <v>6.2481826049606756E-14</v>
      </c>
      <c r="H194" s="4">
        <f t="shared" si="59"/>
        <v>6.3309708109644133E-2</v>
      </c>
      <c r="I194" s="4">
        <f t="shared" si="60"/>
        <v>5.1615476731257273</v>
      </c>
      <c r="J194">
        <f t="shared" si="61"/>
        <v>-1.1985296887951156</v>
      </c>
      <c r="K194">
        <f t="shared" si="62"/>
        <v>0.16154767312572746</v>
      </c>
      <c r="L194">
        <f t="shared" si="62"/>
        <v>1.7871131835008425</v>
      </c>
      <c r="M194">
        <f t="shared" si="63"/>
        <v>0.74165508786799106</v>
      </c>
    </row>
    <row r="195" spans="1:66">
      <c r="A195">
        <v>1.4704999999999999</v>
      </c>
      <c r="B195">
        <v>62.691000000000003</v>
      </c>
      <c r="C195">
        <f t="shared" si="54"/>
        <v>1.0448499999999999E-3</v>
      </c>
      <c r="D195">
        <f t="shared" si="55"/>
        <v>2.4704999999999999</v>
      </c>
      <c r="E195">
        <f t="shared" si="56"/>
        <v>1.4704999999999999</v>
      </c>
      <c r="F195">
        <f t="shared" si="57"/>
        <v>147050</v>
      </c>
      <c r="G195" s="4">
        <f t="shared" si="58"/>
        <v>6.3085328903960427E-14</v>
      </c>
      <c r="H195" s="4">
        <f t="shared" si="59"/>
        <v>6.3921207356195178E-2</v>
      </c>
      <c r="I195" s="4">
        <f t="shared" si="60"/>
        <v>5.1674650288430879</v>
      </c>
      <c r="J195">
        <f t="shared" si="61"/>
        <v>-1.1943550305779631</v>
      </c>
      <c r="K195">
        <f t="shared" si="62"/>
        <v>0.16746502884308812</v>
      </c>
      <c r="L195">
        <f t="shared" si="62"/>
        <v>1.7972051974353558</v>
      </c>
      <c r="M195">
        <f t="shared" si="63"/>
        <v>0.74865580446134306</v>
      </c>
    </row>
    <row r="196" spans="1:66">
      <c r="A196">
        <v>1.4913000000000001</v>
      </c>
      <c r="B196">
        <v>64.447999999999993</v>
      </c>
      <c r="C196">
        <f t="shared" si="54"/>
        <v>1.0741333333333333E-3</v>
      </c>
      <c r="D196">
        <f t="shared" si="55"/>
        <v>2.4912999999999998</v>
      </c>
      <c r="E196">
        <f t="shared" si="56"/>
        <v>1.4912999999999998</v>
      </c>
      <c r="F196">
        <f t="shared" si="57"/>
        <v>149129.99999999997</v>
      </c>
      <c r="G196" s="4">
        <f t="shared" si="58"/>
        <v>6.3948833924593357E-14</v>
      </c>
      <c r="H196" s="4">
        <f t="shared" si="59"/>
        <v>6.479615378884393E-2</v>
      </c>
      <c r="I196" s="4">
        <f t="shared" si="60"/>
        <v>5.1735650178586612</v>
      </c>
      <c r="J196">
        <f t="shared" si="61"/>
        <v>-1.1884507724913869</v>
      </c>
      <c r="K196">
        <f t="shared" si="62"/>
        <v>0.17356501785866163</v>
      </c>
      <c r="L196">
        <f t="shared" si="62"/>
        <v>1.8092094445375051</v>
      </c>
      <c r="M196">
        <f t="shared" si="63"/>
        <v>0.75428302025345895</v>
      </c>
    </row>
    <row r="198" spans="1:66">
      <c r="A198" s="7" t="s">
        <v>47</v>
      </c>
    </row>
    <row r="199" spans="1:66">
      <c r="A199" s="8" t="s">
        <v>48</v>
      </c>
    </row>
    <row r="200" spans="1:66">
      <c r="A200" s="1" t="s">
        <v>49</v>
      </c>
      <c r="K200" s="9" t="s">
        <v>50</v>
      </c>
      <c r="L200" s="9"/>
      <c r="M200" s="9"/>
    </row>
    <row r="201" spans="1:66">
      <c r="A201" t="s">
        <v>44</v>
      </c>
      <c r="B201" t="s">
        <v>45</v>
      </c>
      <c r="C201" t="s">
        <v>51</v>
      </c>
      <c r="D201" t="s">
        <v>52</v>
      </c>
      <c r="E201" t="s">
        <v>53</v>
      </c>
      <c r="F201" s="3" t="s">
        <v>54</v>
      </c>
      <c r="G201" t="s">
        <v>55</v>
      </c>
      <c r="H201" t="s">
        <v>56</v>
      </c>
      <c r="I201" t="s">
        <v>57</v>
      </c>
      <c r="J201" t="s">
        <v>58</v>
      </c>
      <c r="K201" s="1" t="s">
        <v>59</v>
      </c>
      <c r="L201" t="s">
        <v>60</v>
      </c>
      <c r="M201" t="s">
        <v>61</v>
      </c>
      <c r="N201" t="s">
        <v>62</v>
      </c>
      <c r="O201" t="s">
        <v>63</v>
      </c>
      <c r="P201" s="10" t="s">
        <v>64</v>
      </c>
      <c r="Q201" s="10" t="s">
        <v>65</v>
      </c>
      <c r="R201" s="10" t="s">
        <v>66</v>
      </c>
      <c r="S201" s="10" t="s">
        <v>67</v>
      </c>
      <c r="T201" s="10" t="s">
        <v>68</v>
      </c>
      <c r="U201" s="3" t="s">
        <v>69</v>
      </c>
      <c r="V201" s="10" t="s">
        <v>70</v>
      </c>
      <c r="W201" s="10" t="s">
        <v>71</v>
      </c>
      <c r="X201" s="11" t="s">
        <v>72</v>
      </c>
      <c r="Y201" s="11" t="s">
        <v>73</v>
      </c>
      <c r="Z201" s="11" t="s">
        <v>74</v>
      </c>
      <c r="AA201" s="11" t="s">
        <v>75</v>
      </c>
      <c r="AB201" s="12"/>
      <c r="AC201" s="12" t="s">
        <v>76</v>
      </c>
      <c r="AD201" s="12" t="s">
        <v>77</v>
      </c>
      <c r="AE201" s="13" t="s">
        <v>78</v>
      </c>
      <c r="AF201" s="13" t="s">
        <v>79</v>
      </c>
      <c r="AG201" s="13" t="s">
        <v>80</v>
      </c>
      <c r="AH201" s="13" t="s">
        <v>81</v>
      </c>
      <c r="AI201" s="12" t="s">
        <v>82</v>
      </c>
      <c r="AJ201" s="12" t="s">
        <v>83</v>
      </c>
      <c r="AK201" s="12" t="s">
        <v>84</v>
      </c>
      <c r="AL201" s="12" t="s">
        <v>85</v>
      </c>
      <c r="AM201" s="12" t="s">
        <v>86</v>
      </c>
      <c r="AN201" s="12" t="s">
        <v>87</v>
      </c>
      <c r="AO201" s="12" t="s">
        <v>88</v>
      </c>
      <c r="AP201" s="12" t="s">
        <v>89</v>
      </c>
      <c r="AQ201" s="12" t="s">
        <v>90</v>
      </c>
      <c r="AR201" s="12" t="s">
        <v>91</v>
      </c>
      <c r="AS201" s="12" t="s">
        <v>92</v>
      </c>
      <c r="AU201" s="14" t="s">
        <v>93</v>
      </c>
      <c r="AV201" s="3" t="s">
        <v>94</v>
      </c>
      <c r="AW201" s="3" t="s">
        <v>95</v>
      </c>
      <c r="AX201" s="3" t="s">
        <v>96</v>
      </c>
      <c r="AY201" s="3" t="s">
        <v>97</v>
      </c>
      <c r="AZ201" s="3"/>
      <c r="BA201" s="3" t="s">
        <v>98</v>
      </c>
      <c r="BB201" s="3"/>
      <c r="BC201" s="3"/>
      <c r="BD201" s="3"/>
      <c r="BE201" s="3"/>
      <c r="BF201" s="3"/>
      <c r="BG201" s="3" t="s">
        <v>99</v>
      </c>
      <c r="BH201" s="3" t="s">
        <v>100</v>
      </c>
      <c r="BI201" s="3" t="s">
        <v>101</v>
      </c>
      <c r="BJ201" s="1" t="s">
        <v>102</v>
      </c>
      <c r="BK201" s="3" t="s">
        <v>103</v>
      </c>
      <c r="BL201" s="3" t="s">
        <v>104</v>
      </c>
      <c r="BN201" t="s">
        <v>105</v>
      </c>
    </row>
    <row r="202" spans="1:66">
      <c r="A202" s="1">
        <v>1.2323999999999999</v>
      </c>
      <c r="B202" s="1">
        <v>46.088000000000001</v>
      </c>
      <c r="C202">
        <f>A202+1</f>
        <v>2.2324000000000002</v>
      </c>
      <c r="D202">
        <f>C202-1</f>
        <v>1.2324000000000002</v>
      </c>
      <c r="E202">
        <f>D202*100000</f>
        <v>123240.00000000001</v>
      </c>
      <c r="F202">
        <f>E202/(0.000134)</f>
        <v>919701492.53731346</v>
      </c>
      <c r="G202">
        <f>1.25*C202/1</f>
        <v>2.7905000000000002</v>
      </c>
      <c r="H202">
        <f t="shared" ref="H202:H215" si="64">(((((C202+1)*100000)/2)*28.02)/(8.314*298))/1000</f>
        <v>1.8278348318434339</v>
      </c>
      <c r="I202">
        <f t="shared" ref="I202:I215" si="65">B202/60000</f>
        <v>7.6813333333333332E-4</v>
      </c>
      <c r="J202">
        <f>I202/51200000</f>
        <v>1.5002604166666667E-11</v>
      </c>
      <c r="K202" s="1">
        <f t="shared" ref="K202:K215" si="66">1-(((J202/J219)^0.25)*1)</f>
        <v>9.0698660521658203E-2</v>
      </c>
      <c r="L202">
        <f>K202*10^-6</f>
        <v>9.0698660521658205E-8</v>
      </c>
      <c r="M202">
        <f>1-K202</f>
        <v>0.9093013394783418</v>
      </c>
      <c r="N202">
        <f>M202*10^-6</f>
        <v>9.0930133947834175E-7</v>
      </c>
      <c r="O202">
        <f>F202*(N202/2)</f>
        <v>418.14289954220465</v>
      </c>
      <c r="P202">
        <f t="shared" ref="P202:P215" si="67">(((O202*N202)+(0.5*(N202^2)*(18620+F202))))</f>
        <v>7.6044349507146957E-4</v>
      </c>
      <c r="Q202">
        <f>(((0.25*(((1*10^-6)^2)-(N202^2)))-(0.5*(N202^2)*(LN(1/M202)))))</f>
        <v>3.9858450931009104E-15</v>
      </c>
      <c r="R202">
        <f>(0.0625*(18620+F202)*((((1*10^-6)^2)-(N202^2))^2))</f>
        <v>1.7237981175581851E-18</v>
      </c>
      <c r="S202">
        <f t="shared" ref="S202:S215" si="68">((2*PI()*1900)/(0.8))*((P202*Q202)-R202)</f>
        <v>1.9506954024407085E-14</v>
      </c>
      <c r="T202">
        <f t="shared" ref="T202:T215" si="69">S202/1900</f>
        <v>1.0266817907582676E-17</v>
      </c>
      <c r="U202">
        <f>(PI()*((0.000001)^2))-(PI()*(N202^2))</f>
        <v>5.4403297396457642E-13</v>
      </c>
      <c r="V202">
        <f t="shared" ref="V202:V215" si="70">T202/U202</f>
        <v>1.887168314957905E-5</v>
      </c>
      <c r="W202">
        <f t="shared" ref="W202:W215" si="71">(T202*1900)/U202</f>
        <v>3.58561979842002E-2</v>
      </c>
      <c r="X202">
        <f t="shared" ref="X202:X215" si="72">(J202)/(PI()*(N202^2))</f>
        <v>5.7756533119698279</v>
      </c>
      <c r="Y202">
        <f t="shared" ref="Y202:Y215" si="73">(2*1900*V202*L202)/(0.8)</f>
        <v>8.1302728214158466E-9</v>
      </c>
      <c r="Z202">
        <f t="shared" ref="Z202:Z215" si="74">(1.25*X202*2*N202)/(0.00001781)</f>
        <v>0.73719950771149423</v>
      </c>
      <c r="AA202">
        <f t="shared" ref="AA202:AA215" si="75">J202*1.25</f>
        <v>1.8753255208333333E-11</v>
      </c>
      <c r="AC202">
        <f t="shared" ref="AC202:AC215" si="76">AA202/(AA202+S202)</f>
        <v>0.99896089057882376</v>
      </c>
      <c r="AD202">
        <f>(AA202+S202)/(PI()*(0.000001)^2)</f>
        <v>5.9755557872554643</v>
      </c>
      <c r="AE202">
        <f t="shared" ref="AE202:AE215" si="77">(AD202*AC202)/H202</f>
        <v>3.2658019351342991</v>
      </c>
      <c r="AF202">
        <f t="shared" ref="AF202:AF215" si="78">(AD202*(1-AC202))/1900</f>
        <v>3.2680296396323028E-6</v>
      </c>
      <c r="AG202">
        <f>(AD202*AC202*0.000002)/(0.00001781)</f>
        <v>0.67033649982483567</v>
      </c>
      <c r="AH202">
        <f>(AD202*(1-AC202)*0.000002)/(0.8)</f>
        <v>1.5523140788253438E-8</v>
      </c>
      <c r="AI202">
        <f t="shared" ref="AI202:AI215" si="79">16/Z202</f>
        <v>21.70375838918989</v>
      </c>
      <c r="AJ202">
        <f t="shared" ref="AJ202:AJ215" si="80">16/Y202</f>
        <v>1967953640.8488786</v>
      </c>
      <c r="AK202">
        <f>((((0.000134)/(0.000002))*4*AI202*((AD202*AC202)^2))/(2*1.25))*(2/(1+C202))</f>
        <v>51296.556402373208</v>
      </c>
      <c r="AL202">
        <f>((0.000134/0.000002)*4*AJ202*((AD202*(1-AC202))^2))/(2*1900)</f>
        <v>5351.1267287439559</v>
      </c>
      <c r="AM202">
        <f t="shared" ref="AM202:AM215" si="81">(AL202/AK202)^0.5</f>
        <v>0.32298214351811916</v>
      </c>
      <c r="AN202">
        <f>((0.017/(9.8*(1900-H202)))^0.5)/(0.000002)</f>
        <v>477.98429447769001</v>
      </c>
      <c r="AO202">
        <f t="shared" ref="AO202:AO215" si="82">26*(1+(Y202/1000))*(1-(EXP(-0.513/((0.27*AN202)+0.8))))</f>
        <v>0.10251134472472266</v>
      </c>
      <c r="AP202">
        <f t="shared" ref="AP202:AP215" si="83">1+(AO202*AM202)+(AM202^2)</f>
        <v>1.1374267988856746</v>
      </c>
      <c r="AQ202">
        <f t="shared" ref="AQ202:AQ215" si="84">1+(AO202/AM202)+(1/(AM202^2))</f>
        <v>10.903512643271878</v>
      </c>
      <c r="AR202">
        <f t="shared" ref="AR202:AS215" si="85">AK202*AP202</f>
        <v>58346.077942609809</v>
      </c>
      <c r="AS202">
        <f t="shared" si="85"/>
        <v>58346.077942609809</v>
      </c>
      <c r="AU202" s="2">
        <f t="shared" ref="AU202:AU215" si="86">(E202*10^-6)/0.134</f>
        <v>0.91970149253731337</v>
      </c>
      <c r="AV202">
        <f t="shared" ref="AV202:AV215" si="87">(AS202*10^-6)/0.134</f>
        <v>0.43541849210902839</v>
      </c>
      <c r="AW202">
        <f t="shared" ref="AW202:AX215" si="88">LOG(AU202)</f>
        <v>-3.6353108719904631E-2</v>
      </c>
      <c r="AX202">
        <f t="shared" si="88"/>
        <v>-0.36109313053063946</v>
      </c>
      <c r="AY202">
        <f t="shared" ref="AY202:AY215" si="89">AV202/AU202</f>
        <v>0.47343458246194259</v>
      </c>
      <c r="BA202">
        <f>(AK202/0.000134)*(AP202)*(0.000002/4)</f>
        <v>217.70924605451418</v>
      </c>
      <c r="BG202">
        <f>((AD202*(1-AC202))*0.000002*0.8)/(2*1900*BA202)</f>
        <v>1.2008785842063838E-14</v>
      </c>
      <c r="BH202">
        <f t="shared" ref="BH202:BH215" si="90">(BG202^0.5)*10^6</f>
        <v>0.10958460586261119</v>
      </c>
      <c r="BI202" s="4">
        <f t="shared" ref="BI202:BI215" si="91">BH202/K202</f>
        <v>1.2082273898239451</v>
      </c>
      <c r="BJ202" s="1">
        <f t="shared" ref="BJ202:BJ215" si="92">1-(((J202/J219)^0.25)*1)</f>
        <v>9.0698660521658203E-2</v>
      </c>
      <c r="BK202">
        <f t="shared" ref="BK202:BK215" si="93">LOG(BJ202)</f>
        <v>-1.0423991267474908</v>
      </c>
      <c r="BL202">
        <f t="shared" ref="BL202:BL215" si="94">LOG(BH202)</f>
        <v>-0.96025045003491605</v>
      </c>
      <c r="BN202">
        <f>((BJ202-BH202)/(BJ202))*100</f>
        <v>-20.822738982394519</v>
      </c>
    </row>
    <row r="203" spans="1:66">
      <c r="A203">
        <v>1.2519</v>
      </c>
      <c r="B203">
        <v>47.828000000000003</v>
      </c>
      <c r="C203">
        <f>A203+1</f>
        <v>2.2519</v>
      </c>
      <c r="D203">
        <f>C203-1</f>
        <v>1.2519</v>
      </c>
      <c r="E203">
        <f>D203*100000</f>
        <v>125190</v>
      </c>
      <c r="F203">
        <f>E203/(0.000134)</f>
        <v>934253731.34328353</v>
      </c>
      <c r="G203">
        <f>1.25*C203/1</f>
        <v>2.8148749999999998</v>
      </c>
      <c r="H203">
        <f t="shared" si="64"/>
        <v>1.8388615547802447</v>
      </c>
      <c r="I203">
        <f t="shared" si="65"/>
        <v>7.9713333333333337E-4</v>
      </c>
      <c r="J203">
        <f>I203/51200000</f>
        <v>1.5569010416666667E-11</v>
      </c>
      <c r="K203" s="1">
        <f t="shared" si="66"/>
        <v>8.5851114474405188E-2</v>
      </c>
      <c r="L203">
        <f>K203*10^-6</f>
        <v>8.585111447440519E-8</v>
      </c>
      <c r="M203">
        <f>1-K203</f>
        <v>0.91414888552559481</v>
      </c>
      <c r="N203">
        <f>M203*10^-6</f>
        <v>9.1414888552559479E-7</v>
      </c>
      <c r="O203">
        <f>F203*(N203/2)</f>
        <v>427.02350365279557</v>
      </c>
      <c r="P203">
        <f t="shared" si="67"/>
        <v>7.8073389998567716E-4</v>
      </c>
      <c r="Q203">
        <f>(((0.25*(((1*10^-6)^2)-(N203^2)))-(0.5*(N203^2)*(LN(1/M203)))))</f>
        <v>3.5774025249179005E-15</v>
      </c>
      <c r="R203">
        <f>(0.0625*(18620+F203)*((((1*10^-6)^2)-(N203^2))^2))</f>
        <v>1.5768733678063693E-18</v>
      </c>
      <c r="S203">
        <f t="shared" si="68"/>
        <v>1.814772026527234E-14</v>
      </c>
      <c r="T203">
        <f t="shared" si="69"/>
        <v>9.55143171856439E-18</v>
      </c>
      <c r="U203">
        <f>(PI()*((0.000001)^2))-(PI()*(N203^2))</f>
        <v>5.1626362304508679E-13</v>
      </c>
      <c r="V203">
        <f t="shared" si="70"/>
        <v>1.8501074436015871E-5</v>
      </c>
      <c r="W203">
        <f t="shared" si="71"/>
        <v>3.5152041428430154E-2</v>
      </c>
      <c r="X203">
        <f t="shared" si="72"/>
        <v>5.9303082529950126</v>
      </c>
      <c r="Y203">
        <f t="shared" si="73"/>
        <v>7.5446048317029779E-9</v>
      </c>
      <c r="Z203">
        <f t="shared" si="74"/>
        <v>0.76097482878981304</v>
      </c>
      <c r="AA203">
        <f t="shared" si="75"/>
        <v>1.9461263020833334E-11</v>
      </c>
      <c r="AC203">
        <f t="shared" si="76"/>
        <v>0.99906836400204946</v>
      </c>
      <c r="AD203">
        <f>(AA203+S203)/(PI()*(0.000001)^2)</f>
        <v>6.200489015926407</v>
      </c>
      <c r="AE203">
        <f t="shared" si="77"/>
        <v>3.3687758608312302</v>
      </c>
      <c r="AF203">
        <f t="shared" si="78"/>
        <v>3.0403151432284053E-6</v>
      </c>
      <c r="AG203">
        <f>(AD203*AC203*0.000002)/(0.00001781)</f>
        <v>0.69564429165123776</v>
      </c>
      <c r="AH203">
        <f>(AD203*(1-AC203)*0.000002)/(0.8)</f>
        <v>1.4441496930334925E-8</v>
      </c>
      <c r="AI203">
        <f t="shared" si="79"/>
        <v>21.025662603643518</v>
      </c>
      <c r="AJ203">
        <f t="shared" si="80"/>
        <v>2120720747.7278116</v>
      </c>
      <c r="AK203">
        <f>((((0.000134)/(0.000002))*4*AI203*((AD203*AC203)^2))/(2*1.25))*(2/(1+C203))</f>
        <v>53196.074933573793</v>
      </c>
      <c r="AL203">
        <f>((0.000134/0.000002)*4*AJ203*((AD203*(1-AC203))^2))/(2*1900)</f>
        <v>4990.9025470057704</v>
      </c>
      <c r="AM203">
        <f t="shared" si="81"/>
        <v>0.30630194204874706</v>
      </c>
      <c r="AN203">
        <f>((0.017/(9.8*(1900-H203)))^0.5)/(0.000002)</f>
        <v>477.98568281944409</v>
      </c>
      <c r="AO203">
        <f t="shared" si="82"/>
        <v>0.10251104939199721</v>
      </c>
      <c r="AP203">
        <f t="shared" si="83"/>
        <v>1.1252202132130578</v>
      </c>
      <c r="AQ203">
        <f t="shared" si="84"/>
        <v>11.993281418561129</v>
      </c>
      <c r="AR203">
        <f t="shared" si="85"/>
        <v>59857.298778853699</v>
      </c>
      <c r="AS203">
        <f t="shared" si="85"/>
        <v>59857.298778853714</v>
      </c>
      <c r="AU203" s="2">
        <f t="shared" si="86"/>
        <v>0.93425373134328349</v>
      </c>
      <c r="AV203">
        <f t="shared" si="87"/>
        <v>0.44669625954368442</v>
      </c>
      <c r="AW203">
        <f t="shared" si="88"/>
        <v>-2.953515893343639E-2</v>
      </c>
      <c r="AX203">
        <f t="shared" si="88"/>
        <v>-0.34998768412171172</v>
      </c>
      <c r="AY203">
        <f t="shared" si="89"/>
        <v>0.4781316301529972</v>
      </c>
      <c r="BA203">
        <f>(AK203/0.000134)*(AP203)*(0.000002/4)</f>
        <v>223.34812977184214</v>
      </c>
      <c r="BG203">
        <f>((AD203*(1-AC203))*0.000002*0.8)/(2*1900*BA203)</f>
        <v>1.0889959620738056E-14</v>
      </c>
      <c r="BH203">
        <f t="shared" si="90"/>
        <v>0.1043549693150166</v>
      </c>
      <c r="BI203" s="4">
        <f t="shared" si="91"/>
        <v>1.2155342415051347</v>
      </c>
      <c r="BJ203" s="1">
        <f t="shared" si="92"/>
        <v>8.5851114474405188E-2</v>
      </c>
      <c r="BK203">
        <f t="shared" si="93"/>
        <v>-1.0662540626819488</v>
      </c>
      <c r="BL203">
        <f t="shared" si="94"/>
        <v>-0.98148686528846507</v>
      </c>
      <c r="BN203">
        <f>((BJ203-BH203)/(BJ203))*100</f>
        <v>-21.553424150513472</v>
      </c>
    </row>
    <row r="204" spans="1:66">
      <c r="A204">
        <v>1.2727999999999999</v>
      </c>
      <c r="B204">
        <v>49.258000000000003</v>
      </c>
      <c r="C204">
        <f t="shared" ref="C204:C215" si="95">A204+1</f>
        <v>2.2728000000000002</v>
      </c>
      <c r="D204">
        <f t="shared" ref="D204:D215" si="96">C204-1</f>
        <v>1.2728000000000002</v>
      </c>
      <c r="E204">
        <f t="shared" ref="E204:E215" si="97">D204*100000</f>
        <v>127280.00000000001</v>
      </c>
      <c r="F204">
        <f t="shared" ref="F204:F215" si="98">E204/(0.000134)</f>
        <v>949850746.26865685</v>
      </c>
      <c r="G204">
        <f t="shared" ref="G204:G215" si="99">1.25*C204/1</f>
        <v>2.8410000000000002</v>
      </c>
      <c r="H204">
        <f t="shared" si="64"/>
        <v>1.8506799398766209</v>
      </c>
      <c r="I204">
        <f t="shared" si="65"/>
        <v>8.2096666666666676E-4</v>
      </c>
      <c r="J204">
        <f t="shared" ref="J204:J215" si="100">I204/51200000</f>
        <v>1.6034505208333336E-11</v>
      </c>
      <c r="K204" s="1">
        <f t="shared" si="66"/>
        <v>8.4038413677360868E-2</v>
      </c>
      <c r="L204">
        <f t="shared" ref="L204:L215" si="101">K204*10^-6</f>
        <v>8.403841367736087E-8</v>
      </c>
      <c r="M204">
        <f t="shared" ref="M204:M215" si="102">1-K204</f>
        <v>0.91596158632263913</v>
      </c>
      <c r="N204">
        <f t="shared" ref="N204:N215" si="103">M204*10^-6</f>
        <v>9.1596158632263907E-7</v>
      </c>
      <c r="O204">
        <f t="shared" ref="O204:O215" si="104">F204*(N204/2)</f>
        <v>435.01339816099073</v>
      </c>
      <c r="P204">
        <f t="shared" si="67"/>
        <v>7.9691893545847888E-4</v>
      </c>
      <c r="Q204">
        <f t="shared" ref="Q204:Q215" si="105">(((0.25*(((1*10^-6)^2)-(N204^2)))-(0.5*(N204^2)*(LN(1/M204)))))</f>
        <v>3.4301566941524182E-15</v>
      </c>
      <c r="R204">
        <f t="shared" ref="R204:R215" si="106">(0.0625*(18620+F204)*((((1*10^-6)^2)-(N204^2))^2))</f>
        <v>1.5391224966339584E-18</v>
      </c>
      <c r="S204">
        <f t="shared" si="68"/>
        <v>1.7824023970846694E-14</v>
      </c>
      <c r="T204">
        <f t="shared" si="69"/>
        <v>9.38106524781405E-18</v>
      </c>
      <c r="U204">
        <f t="shared" ref="U204:U215" si="107">(PI()*((0.000001)^2))-(PI()*(N204^2))</f>
        <v>5.0584156939550914E-13</v>
      </c>
      <c r="V204">
        <f t="shared" si="70"/>
        <v>1.8545461297347728E-5</v>
      </c>
      <c r="W204">
        <f t="shared" si="71"/>
        <v>3.5236376464960681E-2</v>
      </c>
      <c r="X204">
        <f t="shared" si="72"/>
        <v>6.0834671773396547</v>
      </c>
      <c r="Y204">
        <f t="shared" si="73"/>
        <v>7.4030229546339709E-9</v>
      </c>
      <c r="Z204">
        <f t="shared" si="74"/>
        <v>0.78217605925010358</v>
      </c>
      <c r="AA204">
        <f t="shared" si="75"/>
        <v>2.004313151041667E-11</v>
      </c>
      <c r="AC204">
        <f t="shared" si="76"/>
        <v>0.9991115067305596</v>
      </c>
      <c r="AD204">
        <f t="shared" ref="AD204:AD215" si="108">(AA204+S204)/(PI()*(0.000001)^2)</f>
        <v>6.3856004728889761</v>
      </c>
      <c r="AE204">
        <f t="shared" si="77"/>
        <v>3.4473421213355824</v>
      </c>
      <c r="AF204">
        <f t="shared" si="78"/>
        <v>2.9860858113143792E-6</v>
      </c>
      <c r="AG204">
        <f t="shared" ref="AG204:AG215" si="109">(AD204*AC204*0.000002)/(0.00001781)</f>
        <v>0.71644322401431537</v>
      </c>
      <c r="AH204">
        <f t="shared" ref="AH204:AH215" si="110">(AD204*(1-AC204)*0.000002)/(0.8)</f>
        <v>1.4183907603743302E-8</v>
      </c>
      <c r="AI204">
        <f t="shared" si="79"/>
        <v>20.455752654127124</v>
      </c>
      <c r="AJ204">
        <f t="shared" si="80"/>
        <v>2161279263.6263127</v>
      </c>
      <c r="AK204">
        <f t="shared" ref="AK204:AK215" si="111">((((0.000134)/(0.000002))*4*AI204*((AD204*AC204)^2))/(2*1.25))*(2/(1+C204))</f>
        <v>54544.653212234494</v>
      </c>
      <c r="AL204">
        <f t="shared" ref="AL204:AL215" si="112">((0.000134/0.000002)*4*AJ204*((AD204*(1-AC204))^2))/(2*1900)</f>
        <v>4906.5231671305246</v>
      </c>
      <c r="AM204">
        <f t="shared" si="81"/>
        <v>0.29992373406979006</v>
      </c>
      <c r="AN204">
        <f t="shared" ref="AN204:AN215" si="113">((0.017/(9.8*(1900-H204)))^0.5)/(0.000002)</f>
        <v>477.98717085044808</v>
      </c>
      <c r="AO204">
        <f t="shared" si="82"/>
        <v>0.10251073285498363</v>
      </c>
      <c r="AP204">
        <f t="shared" si="83"/>
        <v>1.1206996480384637</v>
      </c>
      <c r="AQ204">
        <f t="shared" si="84"/>
        <v>12.458551926716115</v>
      </c>
      <c r="AR204">
        <f t="shared" si="85"/>
        <v>61128.173657331252</v>
      </c>
      <c r="AS204">
        <f t="shared" si="85"/>
        <v>61128.173657331252</v>
      </c>
      <c r="AU204" s="2">
        <f t="shared" si="86"/>
        <v>0.94985074626865673</v>
      </c>
      <c r="AV204">
        <f t="shared" si="87"/>
        <v>0.45618040042784508</v>
      </c>
      <c r="AW204">
        <f t="shared" si="88"/>
        <v>-2.2344631726282514E-2</v>
      </c>
      <c r="AX204">
        <f t="shared" si="88"/>
        <v>-0.34086337791269911</v>
      </c>
      <c r="AY204">
        <f t="shared" si="89"/>
        <v>0.48026534928764331</v>
      </c>
      <c r="BA204">
        <f t="shared" ref="BA204:BA215" si="114">(AK204/0.000134)*(AP204)*(0.000002/4)</f>
        <v>228.09020021392257</v>
      </c>
      <c r="BG204">
        <f t="shared" ref="BG204:BG215" si="115">((AD204*(1-AC204))*0.000002*0.8)/(2*1900*BA204)</f>
        <v>1.0473350660444936E-14</v>
      </c>
      <c r="BH204">
        <f t="shared" si="90"/>
        <v>0.10233938958409385</v>
      </c>
      <c r="BI204" s="4">
        <f t="shared" si="91"/>
        <v>1.2177691737137475</v>
      </c>
      <c r="BJ204" s="1">
        <f t="shared" si="92"/>
        <v>8.4038413677360868E-2</v>
      </c>
      <c r="BK204">
        <f t="shared" si="93"/>
        <v>-1.0755221540013402</v>
      </c>
      <c r="BL204">
        <f t="shared" si="94"/>
        <v>-0.9899571777591557</v>
      </c>
      <c r="BN204">
        <f t="shared" ref="BN204:BN215" si="116">((BJ204-BH204)/(BJ204))*100</f>
        <v>-21.776917371374754</v>
      </c>
    </row>
    <row r="205" spans="1:66">
      <c r="A205">
        <v>1.2926</v>
      </c>
      <c r="B205">
        <v>50.552</v>
      </c>
      <c r="C205">
        <f t="shared" si="95"/>
        <v>2.2926000000000002</v>
      </c>
      <c r="D205">
        <f t="shared" si="96"/>
        <v>1.2926000000000002</v>
      </c>
      <c r="E205">
        <f t="shared" si="97"/>
        <v>129260.00000000001</v>
      </c>
      <c r="F205">
        <f t="shared" si="98"/>
        <v>964626865.67164183</v>
      </c>
      <c r="G205">
        <f t="shared" si="99"/>
        <v>2.8657500000000002</v>
      </c>
      <c r="H205">
        <f t="shared" si="64"/>
        <v>1.8618763047047671</v>
      </c>
      <c r="I205">
        <f t="shared" si="65"/>
        <v>8.4253333333333329E-4</v>
      </c>
      <c r="J205">
        <f t="shared" si="100"/>
        <v>1.6455729166666667E-11</v>
      </c>
      <c r="K205" s="1">
        <f t="shared" si="66"/>
        <v>8.250041774157002E-2</v>
      </c>
      <c r="L205">
        <f t="shared" si="101"/>
        <v>8.2500417741570021E-8</v>
      </c>
      <c r="M205">
        <f t="shared" si="102"/>
        <v>0.91749958225842998</v>
      </c>
      <c r="N205">
        <f t="shared" si="103"/>
        <v>9.1749958225842993E-7</v>
      </c>
      <c r="O205">
        <f t="shared" si="104"/>
        <v>442.52237314449496</v>
      </c>
      <c r="P205">
        <f t="shared" si="67"/>
        <v>8.1203602220921724E-4</v>
      </c>
      <c r="Q205">
        <f t="shared" si="105"/>
        <v>3.3075753988250974E-15</v>
      </c>
      <c r="R205">
        <f t="shared" si="106"/>
        <v>1.5087962806719868E-18</v>
      </c>
      <c r="S205">
        <f t="shared" si="68"/>
        <v>1.7564964731161456E-14</v>
      </c>
      <c r="T205">
        <f t="shared" si="69"/>
        <v>9.2447182795586618E-18</v>
      </c>
      <c r="U205">
        <f t="shared" si="107"/>
        <v>4.9698273104928221E-13</v>
      </c>
      <c r="V205">
        <f t="shared" si="70"/>
        <v>1.8601689157368186E-5</v>
      </c>
      <c r="W205">
        <f t="shared" si="71"/>
        <v>3.5343209398999549E-2</v>
      </c>
      <c r="X205">
        <f t="shared" si="72"/>
        <v>6.2223653577079077</v>
      </c>
      <c r="Y205">
        <f t="shared" si="73"/>
        <v>7.2895738493631182E-9</v>
      </c>
      <c r="Z205">
        <f t="shared" si="74"/>
        <v>0.80137810448572866</v>
      </c>
      <c r="AA205">
        <f t="shared" si="75"/>
        <v>2.0569661458333334E-11</v>
      </c>
      <c r="AC205">
        <f t="shared" si="76"/>
        <v>0.99914680276156664</v>
      </c>
      <c r="AD205">
        <f t="shared" si="108"/>
        <v>6.553117699565588</v>
      </c>
      <c r="AE205">
        <f t="shared" si="77"/>
        <v>3.5166281353365281</v>
      </c>
      <c r="AF205">
        <f t="shared" si="78"/>
        <v>2.9426852233674256E-6</v>
      </c>
      <c r="AG205">
        <f t="shared" si="109"/>
        <v>0.73526407609670852</v>
      </c>
      <c r="AH205">
        <f t="shared" si="110"/>
        <v>1.3977754810995271E-8</v>
      </c>
      <c r="AI205">
        <f t="shared" si="79"/>
        <v>19.965606634920153</v>
      </c>
      <c r="AJ205">
        <f t="shared" si="80"/>
        <v>2194915687.890027</v>
      </c>
      <c r="AK205">
        <f t="shared" si="111"/>
        <v>55734.339678784163</v>
      </c>
      <c r="AL205">
        <f t="shared" si="112"/>
        <v>4839.0917759637532</v>
      </c>
      <c r="AM205">
        <f t="shared" si="81"/>
        <v>0.29465953512629811</v>
      </c>
      <c r="AN205">
        <f t="shared" si="113"/>
        <v>477.98858057685032</v>
      </c>
      <c r="AO205">
        <f t="shared" si="82"/>
        <v>0.10251043297688718</v>
      </c>
      <c r="AP205">
        <f t="shared" si="83"/>
        <v>1.117029918167411</v>
      </c>
      <c r="AQ205">
        <f t="shared" si="84"/>
        <v>12.865415200377738</v>
      </c>
      <c r="AR205">
        <f t="shared" si="85"/>
        <v>62256.924890506962</v>
      </c>
      <c r="AS205">
        <f t="shared" si="85"/>
        <v>62256.924890506976</v>
      </c>
      <c r="AU205" s="2">
        <f t="shared" si="86"/>
        <v>0.9646268656716418</v>
      </c>
      <c r="AV205">
        <f t="shared" si="87"/>
        <v>0.46460391709333559</v>
      </c>
      <c r="AW205">
        <f t="shared" si="88"/>
        <v>-1.5640646778153661E-2</v>
      </c>
      <c r="AX205">
        <f t="shared" si="88"/>
        <v>-0.33291713296701581</v>
      </c>
      <c r="AY205">
        <f t="shared" si="89"/>
        <v>0.4816410714103897</v>
      </c>
      <c r="BA205">
        <f t="shared" si="114"/>
        <v>232.30195854666775</v>
      </c>
      <c r="BG205">
        <f t="shared" si="115"/>
        <v>1.0134000562982812E-14</v>
      </c>
      <c r="BH205">
        <f t="shared" si="90"/>
        <v>0.10066777320961666</v>
      </c>
      <c r="BI205" s="4">
        <f t="shared" si="91"/>
        <v>1.22020925427257</v>
      </c>
      <c r="BJ205" s="1">
        <f t="shared" si="92"/>
        <v>8.250041774157002E-2</v>
      </c>
      <c r="BK205">
        <f t="shared" si="93"/>
        <v>-1.0835438523906882</v>
      </c>
      <c r="BL205">
        <f t="shared" si="94"/>
        <v>-0.99710953795930679</v>
      </c>
      <c r="BN205">
        <f t="shared" si="116"/>
        <v>-22.020925427257001</v>
      </c>
    </row>
    <row r="206" spans="1:66">
      <c r="A206">
        <v>1.3110999999999999</v>
      </c>
      <c r="B206">
        <v>51.655999999999999</v>
      </c>
      <c r="C206">
        <f t="shared" si="95"/>
        <v>2.3110999999999997</v>
      </c>
      <c r="D206">
        <f t="shared" si="96"/>
        <v>1.3110999999999997</v>
      </c>
      <c r="E206">
        <f t="shared" si="97"/>
        <v>131109.99999999997</v>
      </c>
      <c r="F206">
        <f t="shared" si="98"/>
        <v>978432835.82089531</v>
      </c>
      <c r="G206">
        <f t="shared" si="99"/>
        <v>2.8888749999999996</v>
      </c>
      <c r="H206">
        <f t="shared" si="64"/>
        <v>1.8723375546704595</v>
      </c>
      <c r="I206">
        <f t="shared" si="65"/>
        <v>8.609333333333333E-4</v>
      </c>
      <c r="J206">
        <f t="shared" si="100"/>
        <v>1.6815104166666668E-11</v>
      </c>
      <c r="K206" s="1">
        <f t="shared" si="66"/>
        <v>8.2560441288441533E-2</v>
      </c>
      <c r="L206">
        <f t="shared" si="101"/>
        <v>8.2560441288441524E-8</v>
      </c>
      <c r="M206">
        <f t="shared" si="102"/>
        <v>0.91743955871155847</v>
      </c>
      <c r="N206">
        <f t="shared" si="103"/>
        <v>9.1743955871155842E-7</v>
      </c>
      <c r="O206">
        <f t="shared" si="104"/>
        <v>448.82649456221043</v>
      </c>
      <c r="P206">
        <f t="shared" si="67"/>
        <v>8.2355019840207161E-4</v>
      </c>
      <c r="Q206">
        <f t="shared" si="105"/>
        <v>3.3123188817744254E-15</v>
      </c>
      <c r="R206">
        <f t="shared" si="106"/>
        <v>1.5325218614069995E-18</v>
      </c>
      <c r="S206">
        <f t="shared" si="68"/>
        <v>1.7837524211408239E-14</v>
      </c>
      <c r="T206">
        <f t="shared" si="69"/>
        <v>9.3881706375832834E-18</v>
      </c>
      <c r="U206">
        <f t="shared" si="107"/>
        <v>4.9732874466781883E-13</v>
      </c>
      <c r="V206">
        <f t="shared" si="70"/>
        <v>1.8877192879438189E-5</v>
      </c>
      <c r="W206">
        <f t="shared" si="71"/>
        <v>3.5866666470932562E-2</v>
      </c>
      <c r="X206">
        <f t="shared" si="72"/>
        <v>6.3590869693191578</v>
      </c>
      <c r="Y206">
        <f t="shared" si="73"/>
        <v>7.402919528463855E-9</v>
      </c>
      <c r="Z206">
        <f t="shared" si="74"/>
        <v>0.81893289485409737</v>
      </c>
      <c r="AA206">
        <f t="shared" si="75"/>
        <v>2.1018880208333336E-11</v>
      </c>
      <c r="AC206">
        <f t="shared" si="76"/>
        <v>0.99915207664816397</v>
      </c>
      <c r="AD206">
        <f t="shared" si="108"/>
        <v>6.6961952271268483</v>
      </c>
      <c r="AE206">
        <f t="shared" si="77"/>
        <v>3.5733499817573646</v>
      </c>
      <c r="AF206">
        <f t="shared" si="78"/>
        <v>2.9883475271230751E-6</v>
      </c>
      <c r="AG206">
        <f t="shared" si="109"/>
        <v>0.75132143366932225</v>
      </c>
      <c r="AH206">
        <f t="shared" si="110"/>
        <v>1.4194650753834605E-8</v>
      </c>
      <c r="AI206">
        <f t="shared" si="79"/>
        <v>19.537620360030342</v>
      </c>
      <c r="AJ206">
        <f t="shared" si="80"/>
        <v>2161309458.8534698</v>
      </c>
      <c r="AK206">
        <f t="shared" si="111"/>
        <v>56629.60794178192</v>
      </c>
      <c r="AL206">
        <f t="shared" si="112"/>
        <v>4914.0272149349885</v>
      </c>
      <c r="AM206">
        <f t="shared" si="81"/>
        <v>0.29457575619654391</v>
      </c>
      <c r="AN206">
        <f t="shared" si="113"/>
        <v>477.9898977567301</v>
      </c>
      <c r="AO206">
        <f t="shared" si="82"/>
        <v>0.10251015278696868</v>
      </c>
      <c r="AP206">
        <f t="shared" si="83"/>
        <v>1.1169718819138101</v>
      </c>
      <c r="AQ206">
        <f t="shared" si="84"/>
        <v>12.872065413583641</v>
      </c>
      <c r="AR206">
        <f t="shared" si="85"/>
        <v>63253.679754773402</v>
      </c>
      <c r="AS206">
        <f t="shared" si="85"/>
        <v>63253.67975477341</v>
      </c>
      <c r="AU206" s="2">
        <f t="shared" si="86"/>
        <v>0.97843283582089524</v>
      </c>
      <c r="AV206">
        <f t="shared" si="87"/>
        <v>0.47204238622965222</v>
      </c>
      <c r="AW206">
        <f t="shared" si="88"/>
        <v>-9.4689809753135522E-3</v>
      </c>
      <c r="AX206">
        <f t="shared" si="88"/>
        <v>-0.32601900289311581</v>
      </c>
      <c r="AY206">
        <f t="shared" si="89"/>
        <v>0.48244740870088793</v>
      </c>
      <c r="BA206">
        <f t="shared" si="114"/>
        <v>236.02119311482608</v>
      </c>
      <c r="BG206">
        <f t="shared" si="115"/>
        <v>1.0129082012289367E-14</v>
      </c>
      <c r="BH206">
        <f t="shared" si="90"/>
        <v>0.10064334062564381</v>
      </c>
      <c r="BI206" s="4">
        <f t="shared" si="91"/>
        <v>1.2190261952940153</v>
      </c>
      <c r="BJ206" s="1">
        <f t="shared" si="92"/>
        <v>8.2560441288441533E-2</v>
      </c>
      <c r="BK206">
        <f t="shared" si="93"/>
        <v>-1.0832279943914895</v>
      </c>
      <c r="BL206">
        <f t="shared" si="94"/>
        <v>-0.99721495624693135</v>
      </c>
      <c r="BN206">
        <f t="shared" si="116"/>
        <v>-21.90261952940153</v>
      </c>
    </row>
    <row r="207" spans="1:66">
      <c r="A207">
        <v>1.3326</v>
      </c>
      <c r="B207">
        <v>53.100999999999999</v>
      </c>
      <c r="C207">
        <f t="shared" si="95"/>
        <v>2.3326000000000002</v>
      </c>
      <c r="D207">
        <f t="shared" si="96"/>
        <v>1.3326000000000002</v>
      </c>
      <c r="E207">
        <f t="shared" si="97"/>
        <v>133260.00000000003</v>
      </c>
      <c r="F207">
        <f t="shared" si="98"/>
        <v>994477611.94029868</v>
      </c>
      <c r="G207">
        <f t="shared" si="99"/>
        <v>2.9157500000000001</v>
      </c>
      <c r="H207">
        <f t="shared" si="64"/>
        <v>1.8844952235495069</v>
      </c>
      <c r="I207">
        <f t="shared" si="65"/>
        <v>8.8501666666666661E-4</v>
      </c>
      <c r="J207">
        <f t="shared" si="100"/>
        <v>1.7285481770833332E-11</v>
      </c>
      <c r="K207" s="1">
        <f t="shared" si="66"/>
        <v>8.0270604820547153E-2</v>
      </c>
      <c r="L207">
        <f t="shared" si="101"/>
        <v>8.0270604820547151E-8</v>
      </c>
      <c r="M207">
        <f t="shared" si="102"/>
        <v>0.91972939517945285</v>
      </c>
      <c r="N207">
        <f t="shared" si="103"/>
        <v>9.1972939517945279E-7</v>
      </c>
      <c r="O207">
        <f t="shared" si="104"/>
        <v>457.32514627467873</v>
      </c>
      <c r="P207">
        <f t="shared" si="67"/>
        <v>8.4123863571624301E-4</v>
      </c>
      <c r="Q207">
        <f t="shared" si="105"/>
        <v>3.1336950420947402E-15</v>
      </c>
      <c r="R207">
        <f t="shared" si="106"/>
        <v>1.4759656820435369E-18</v>
      </c>
      <c r="S207">
        <f t="shared" si="68"/>
        <v>1.7313453410721854E-14</v>
      </c>
      <c r="T207">
        <f t="shared" si="69"/>
        <v>9.1123439003799229E-18</v>
      </c>
      <c r="U207">
        <f t="shared" si="107"/>
        <v>4.8411264095599771E-13</v>
      </c>
      <c r="V207">
        <f t="shared" si="70"/>
        <v>1.8822776208415858E-5</v>
      </c>
      <c r="W207">
        <f t="shared" si="71"/>
        <v>3.5763274795990133E-2</v>
      </c>
      <c r="X207">
        <f t="shared" si="72"/>
        <v>6.5044635100385593</v>
      </c>
      <c r="Y207">
        <f t="shared" si="73"/>
        <v>7.1768492455938945E-9</v>
      </c>
      <c r="Z207">
        <f t="shared" si="74"/>
        <v>0.83974540848604495</v>
      </c>
      <c r="AA207">
        <f t="shared" si="75"/>
        <v>2.1606852213541666E-11</v>
      </c>
      <c r="AC207">
        <f t="shared" si="76"/>
        <v>0.99919934698626622</v>
      </c>
      <c r="AD207">
        <f t="shared" si="108"/>
        <v>6.883185712267049</v>
      </c>
      <c r="AE207">
        <f t="shared" si="77"/>
        <v>3.6496110910422543</v>
      </c>
      <c r="AF207">
        <f t="shared" si="78"/>
        <v>2.9005491497978329E-6</v>
      </c>
      <c r="AG207">
        <f t="shared" si="109"/>
        <v>0.77233853665159258</v>
      </c>
      <c r="AH207">
        <f t="shared" si="110"/>
        <v>1.3777608461539707E-8</v>
      </c>
      <c r="AI207">
        <f t="shared" si="79"/>
        <v>19.05339384807829</v>
      </c>
      <c r="AJ207">
        <f t="shared" si="80"/>
        <v>2229390565.7587738</v>
      </c>
      <c r="AK207">
        <f t="shared" si="111"/>
        <v>57982.534265038135</v>
      </c>
      <c r="AL207">
        <f t="shared" si="112"/>
        <v>4775.3478932100097</v>
      </c>
      <c r="AM207">
        <f t="shared" si="81"/>
        <v>0.28698150676145051</v>
      </c>
      <c r="AN207">
        <f t="shared" si="113"/>
        <v>477.99142854702825</v>
      </c>
      <c r="AO207">
        <f t="shared" si="82"/>
        <v>0.10250982715982644</v>
      </c>
      <c r="AP207">
        <f t="shared" si="83"/>
        <v>1.1117768098792553</v>
      </c>
      <c r="AQ207">
        <f t="shared" si="84"/>
        <v>13.499254591599183</v>
      </c>
      <c r="AR207">
        <f t="shared" si="85"/>
        <v>64463.636973898712</v>
      </c>
      <c r="AS207">
        <f t="shared" si="85"/>
        <v>64463.636973898705</v>
      </c>
      <c r="AU207" s="2">
        <f t="shared" si="86"/>
        <v>0.9944776119402986</v>
      </c>
      <c r="AV207">
        <f t="shared" si="87"/>
        <v>0.48107191771566193</v>
      </c>
      <c r="AW207">
        <f t="shared" si="88"/>
        <v>-2.4049894326899999E-3</v>
      </c>
      <c r="AX207">
        <f t="shared" si="88"/>
        <v>-0.31778999403713004</v>
      </c>
      <c r="AY207">
        <f t="shared" si="89"/>
        <v>0.48374333613911669</v>
      </c>
      <c r="BA207">
        <f t="shared" si="114"/>
        <v>240.53595885783099</v>
      </c>
      <c r="BG207">
        <f t="shared" si="115"/>
        <v>9.6469539558938224E-15</v>
      </c>
      <c r="BH207">
        <f t="shared" si="90"/>
        <v>9.821890834199809E-2</v>
      </c>
      <c r="BI207" s="4">
        <f t="shared" si="91"/>
        <v>1.2235974621292083</v>
      </c>
      <c r="BJ207" s="1">
        <f t="shared" si="92"/>
        <v>8.0270604820547153E-2</v>
      </c>
      <c r="BK207">
        <f t="shared" si="93"/>
        <v>-1.0954434647018545</v>
      </c>
      <c r="BL207">
        <f t="shared" si="94"/>
        <v>-1.0078048971610536</v>
      </c>
      <c r="BN207">
        <f t="shared" si="116"/>
        <v>-22.359746212920829</v>
      </c>
    </row>
    <row r="208" spans="1:66">
      <c r="A208">
        <v>1.3514999999999999</v>
      </c>
      <c r="B208">
        <v>54.36</v>
      </c>
      <c r="C208">
        <f t="shared" si="95"/>
        <v>2.3514999999999997</v>
      </c>
      <c r="D208">
        <f t="shared" si="96"/>
        <v>1.3514999999999997</v>
      </c>
      <c r="E208">
        <f t="shared" si="97"/>
        <v>135149.99999999997</v>
      </c>
      <c r="F208">
        <f t="shared" si="98"/>
        <v>1008582089.5522386</v>
      </c>
      <c r="G208">
        <f t="shared" si="99"/>
        <v>2.9393749999999996</v>
      </c>
      <c r="H208">
        <f t="shared" si="64"/>
        <v>1.8951826627036463</v>
      </c>
      <c r="I208">
        <f t="shared" si="65"/>
        <v>9.0600000000000001E-4</v>
      </c>
      <c r="J208">
        <f t="shared" si="100"/>
        <v>1.7695312499999999E-11</v>
      </c>
      <c r="K208" s="1">
        <f t="shared" si="66"/>
        <v>7.96628072079133E-2</v>
      </c>
      <c r="L208">
        <f t="shared" si="101"/>
        <v>7.9662807207913294E-8</v>
      </c>
      <c r="M208">
        <f t="shared" si="102"/>
        <v>0.9203371927920867</v>
      </c>
      <c r="N208">
        <f t="shared" si="103"/>
        <v>9.2033719279208669E-7</v>
      </c>
      <c r="O208">
        <f t="shared" si="104"/>
        <v>464.11780449944212</v>
      </c>
      <c r="P208">
        <f t="shared" si="67"/>
        <v>8.5429764039699212E-4</v>
      </c>
      <c r="Q208">
        <f t="shared" si="105"/>
        <v>3.0870887899012516E-15</v>
      </c>
      <c r="R208">
        <f t="shared" si="106"/>
        <v>1.4752495334067037E-18</v>
      </c>
      <c r="S208">
        <f t="shared" si="68"/>
        <v>1.7340664343824898E-14</v>
      </c>
      <c r="T208">
        <f t="shared" si="69"/>
        <v>9.1266654441183677E-18</v>
      </c>
      <c r="U208">
        <f t="shared" si="107"/>
        <v>4.8059912118234306E-13</v>
      </c>
      <c r="V208">
        <f t="shared" si="70"/>
        <v>1.8990183381246009E-5</v>
      </c>
      <c r="W208">
        <f t="shared" si="71"/>
        <v>3.6081348424367415E-2</v>
      </c>
      <c r="X208">
        <f t="shared" si="72"/>
        <v>6.6498893306180733</v>
      </c>
      <c r="Y208">
        <f t="shared" si="73"/>
        <v>7.1858537583298191E-9</v>
      </c>
      <c r="Z208">
        <f t="shared" si="74"/>
        <v>0.85908765846702484</v>
      </c>
      <c r="AA208">
        <f t="shared" si="75"/>
        <v>2.2119140625000001E-11</v>
      </c>
      <c r="AC208">
        <f t="shared" si="76"/>
        <v>0.99921664766332252</v>
      </c>
      <c r="AD208">
        <f t="shared" si="108"/>
        <v>7.0462608397206452</v>
      </c>
      <c r="AE208">
        <f t="shared" si="77"/>
        <v>3.7150725750006437</v>
      </c>
      <c r="AF208">
        <f t="shared" si="78"/>
        <v>2.9051078387548315E-6</v>
      </c>
      <c r="AG208">
        <f t="shared" si="109"/>
        <v>0.79065032395586876</v>
      </c>
      <c r="AH208">
        <f t="shared" si="110"/>
        <v>1.3799262234085449E-8</v>
      </c>
      <c r="AI208">
        <f t="shared" si="79"/>
        <v>18.624409095284591</v>
      </c>
      <c r="AJ208">
        <f t="shared" si="80"/>
        <v>2226596941.4494209</v>
      </c>
      <c r="AK208">
        <f t="shared" si="111"/>
        <v>59061.546408433438</v>
      </c>
      <c r="AL208">
        <f t="shared" si="112"/>
        <v>4784.3674154597229</v>
      </c>
      <c r="AM208">
        <f t="shared" si="81"/>
        <v>0.28461635665748897</v>
      </c>
      <c r="AN208">
        <f t="shared" si="113"/>
        <v>477.99277423064677</v>
      </c>
      <c r="AO208">
        <f t="shared" si="82"/>
        <v>0.10250954090999329</v>
      </c>
      <c r="AP208">
        <f t="shared" si="83"/>
        <v>1.1101823625334171</v>
      </c>
      <c r="AQ208">
        <f t="shared" si="84"/>
        <v>13.704860315434461</v>
      </c>
      <c r="AR208">
        <f t="shared" si="85"/>
        <v>65569.087126591694</v>
      </c>
      <c r="AS208">
        <f t="shared" si="85"/>
        <v>65569.087126591694</v>
      </c>
      <c r="AU208" s="2">
        <f t="shared" si="86"/>
        <v>1.0085820895522384</v>
      </c>
      <c r="AV208">
        <f t="shared" si="87"/>
        <v>0.48932154572083353</v>
      </c>
      <c r="AW208">
        <f t="shared" si="88"/>
        <v>3.7112516699364041E-3</v>
      </c>
      <c r="AX208">
        <f t="shared" si="88"/>
        <v>-0.31040566104027312</v>
      </c>
      <c r="AY208">
        <f t="shared" si="89"/>
        <v>0.485157877370268</v>
      </c>
      <c r="BA208">
        <f t="shared" si="114"/>
        <v>244.66077286041673</v>
      </c>
      <c r="BG208">
        <f t="shared" si="115"/>
        <v>9.499219036350372E-15</v>
      </c>
      <c r="BH208">
        <f t="shared" si="90"/>
        <v>9.7463937106759505E-2</v>
      </c>
      <c r="BI208" s="4">
        <f t="shared" si="91"/>
        <v>1.2234559705181709</v>
      </c>
      <c r="BJ208" s="1">
        <f t="shared" si="92"/>
        <v>7.96628072079133E-2</v>
      </c>
      <c r="BK208">
        <f t="shared" si="93"/>
        <v>-1.098744393715978</v>
      </c>
      <c r="BL208">
        <f t="shared" si="94"/>
        <v>-1.0111560490474347</v>
      </c>
      <c r="BN208">
        <f t="shared" si="116"/>
        <v>-22.345597051817087</v>
      </c>
    </row>
    <row r="209" spans="1:66">
      <c r="A209">
        <v>1.3722000000000001</v>
      </c>
      <c r="B209">
        <v>55.51</v>
      </c>
      <c r="C209">
        <f t="shared" si="95"/>
        <v>2.3722000000000003</v>
      </c>
      <c r="D209">
        <f t="shared" si="96"/>
        <v>1.3722000000000003</v>
      </c>
      <c r="E209">
        <f t="shared" si="97"/>
        <v>137220.00000000003</v>
      </c>
      <c r="F209">
        <f t="shared" si="98"/>
        <v>1024029850.7462689</v>
      </c>
      <c r="G209">
        <f t="shared" si="99"/>
        <v>2.9652500000000002</v>
      </c>
      <c r="H209">
        <f t="shared" si="64"/>
        <v>1.9068879532058001</v>
      </c>
      <c r="I209">
        <f t="shared" si="65"/>
        <v>9.2516666666666659E-4</v>
      </c>
      <c r="J209">
        <f t="shared" si="100"/>
        <v>1.8069661458333333E-11</v>
      </c>
      <c r="K209" s="1">
        <f t="shared" si="66"/>
        <v>7.8571447737889044E-2</v>
      </c>
      <c r="L209">
        <f t="shared" si="101"/>
        <v>7.8571447737889036E-8</v>
      </c>
      <c r="M209">
        <f t="shared" si="102"/>
        <v>0.92142855226211096</v>
      </c>
      <c r="N209">
        <f t="shared" si="103"/>
        <v>9.2142855226211096E-7</v>
      </c>
      <c r="O209">
        <f t="shared" si="104"/>
        <v>471.78517142316002</v>
      </c>
      <c r="P209">
        <f t="shared" si="67"/>
        <v>8.6944055944101952E-4</v>
      </c>
      <c r="Q209">
        <f t="shared" si="105"/>
        <v>3.004253137537499E-15</v>
      </c>
      <c r="R209">
        <f t="shared" si="106"/>
        <v>1.458742114923829E-18</v>
      </c>
      <c r="S209">
        <f t="shared" si="68"/>
        <v>1.7209857289236836E-14</v>
      </c>
      <c r="T209">
        <f t="shared" si="69"/>
        <v>9.0578196259141245E-18</v>
      </c>
      <c r="U209">
        <f t="shared" si="107"/>
        <v>4.742844304527229E-13</v>
      </c>
      <c r="V209">
        <f t="shared" si="70"/>
        <v>1.9097864159841982E-5</v>
      </c>
      <c r="W209">
        <f t="shared" si="71"/>
        <v>3.628594190369977E-2</v>
      </c>
      <c r="X209">
        <f t="shared" si="72"/>
        <v>6.7744932143917254</v>
      </c>
      <c r="Y209">
        <f t="shared" si="73"/>
        <v>7.1275974697665595E-9</v>
      </c>
      <c r="Z209">
        <f t="shared" si="74"/>
        <v>0.87622283476227703</v>
      </c>
      <c r="AA209">
        <f t="shared" si="75"/>
        <v>2.2587076822916666E-11</v>
      </c>
      <c r="AC209">
        <f t="shared" si="76"/>
        <v>0.99923864630046899</v>
      </c>
      <c r="AD209">
        <f t="shared" si="108"/>
        <v>7.1951679204421168</v>
      </c>
      <c r="AE209">
        <f t="shared" si="77"/>
        <v>3.7703787685270451</v>
      </c>
      <c r="AF209">
        <f t="shared" si="78"/>
        <v>2.8831935341976007E-6</v>
      </c>
      <c r="AG209">
        <f t="shared" si="109"/>
        <v>0.80737673809400801</v>
      </c>
      <c r="AH209">
        <f t="shared" si="110"/>
        <v>1.3695169287438603E-8</v>
      </c>
      <c r="AI209">
        <f t="shared" si="79"/>
        <v>18.260195198337723</v>
      </c>
      <c r="AJ209">
        <f t="shared" si="80"/>
        <v>2244795678.7498026</v>
      </c>
      <c r="AK209">
        <f t="shared" si="111"/>
        <v>60011.873521387664</v>
      </c>
      <c r="AL209">
        <f t="shared" si="112"/>
        <v>4750.975684433467</v>
      </c>
      <c r="AM209">
        <f t="shared" si="81"/>
        <v>0.28136677398787963</v>
      </c>
      <c r="AN209">
        <f t="shared" si="113"/>
        <v>477.9942480876507</v>
      </c>
      <c r="AO209">
        <f t="shared" si="82"/>
        <v>0.10250922739732438</v>
      </c>
      <c r="AP209">
        <f t="shared" si="83"/>
        <v>1.1080099521211217</v>
      </c>
      <c r="AQ209">
        <f t="shared" si="84"/>
        <v>13.995810023822642</v>
      </c>
      <c r="AR209">
        <f t="shared" si="85"/>
        <v>66493.753107131561</v>
      </c>
      <c r="AS209">
        <f t="shared" si="85"/>
        <v>66493.753107131561</v>
      </c>
      <c r="AU209" s="2">
        <f t="shared" si="86"/>
        <v>1.0240298507462688</v>
      </c>
      <c r="AV209">
        <f t="shared" si="87"/>
        <v>0.49622203811292204</v>
      </c>
      <c r="AW209">
        <f t="shared" si="88"/>
        <v>1.0312616625584569E-2</v>
      </c>
      <c r="AX209">
        <f t="shared" si="88"/>
        <v>-0.30432395183668937</v>
      </c>
      <c r="AY209">
        <f t="shared" si="89"/>
        <v>0.48457770811202117</v>
      </c>
      <c r="BA209">
        <f t="shared" si="114"/>
        <v>248.11101905646103</v>
      </c>
      <c r="BG209">
        <f t="shared" si="115"/>
        <v>9.2964626727569583E-15</v>
      </c>
      <c r="BH209">
        <f t="shared" si="90"/>
        <v>9.6418165678242171E-2</v>
      </c>
      <c r="BI209" s="4">
        <f t="shared" si="91"/>
        <v>1.2271399911057896</v>
      </c>
      <c r="BJ209" s="1">
        <f t="shared" si="92"/>
        <v>7.8571447737889044E-2</v>
      </c>
      <c r="BK209">
        <f t="shared" si="93"/>
        <v>-1.104735244579633</v>
      </c>
      <c r="BL209">
        <f t="shared" si="94"/>
        <v>-1.0158411350744936</v>
      </c>
      <c r="BN209">
        <f t="shared" si="116"/>
        <v>-22.713999110578957</v>
      </c>
    </row>
    <row r="210" spans="1:66">
      <c r="A210">
        <v>1.3942000000000001</v>
      </c>
      <c r="B210">
        <v>56.938000000000002</v>
      </c>
      <c r="C210">
        <f t="shared" si="95"/>
        <v>2.3942000000000001</v>
      </c>
      <c r="D210">
        <f t="shared" si="96"/>
        <v>1.3942000000000001</v>
      </c>
      <c r="E210">
        <f t="shared" si="97"/>
        <v>139420</v>
      </c>
      <c r="F210">
        <f t="shared" si="98"/>
        <v>1040447761.1940298</v>
      </c>
      <c r="G210">
        <f t="shared" si="99"/>
        <v>2.99275</v>
      </c>
      <c r="H210">
        <f t="shared" si="64"/>
        <v>1.9193283585704068</v>
      </c>
      <c r="I210">
        <f t="shared" si="65"/>
        <v>9.4896666666666673E-4</v>
      </c>
      <c r="J210">
        <f t="shared" si="100"/>
        <v>1.8534505208333333E-11</v>
      </c>
      <c r="K210" s="1">
        <f t="shared" si="66"/>
        <v>7.6922203628417618E-2</v>
      </c>
      <c r="L210">
        <f t="shared" si="101"/>
        <v>7.6922203628417609E-8</v>
      </c>
      <c r="M210">
        <f t="shared" si="102"/>
        <v>0.92307779637158238</v>
      </c>
      <c r="N210">
        <f t="shared" si="103"/>
        <v>9.2307779637158237E-7</v>
      </c>
      <c r="O210">
        <f t="shared" si="104"/>
        <v>480.20711332136568</v>
      </c>
      <c r="P210">
        <f t="shared" si="67"/>
        <v>8.8654498072936498E-4</v>
      </c>
      <c r="Q210">
        <f t="shared" si="105"/>
        <v>2.8811487753199542E-15</v>
      </c>
      <c r="R210">
        <f t="shared" si="106"/>
        <v>1.4230010189387574E-18</v>
      </c>
      <c r="S210">
        <f t="shared" si="68"/>
        <v>1.688140495905601E-14</v>
      </c>
      <c r="T210">
        <f t="shared" si="69"/>
        <v>8.8849499784505324E-18</v>
      </c>
      <c r="U210">
        <f t="shared" si="107"/>
        <v>4.6472757607148565E-13</v>
      </c>
      <c r="V210">
        <f t="shared" si="70"/>
        <v>1.9118620103326569E-5</v>
      </c>
      <c r="W210">
        <f t="shared" si="71"/>
        <v>3.6325378196320479E-2</v>
      </c>
      <c r="X210">
        <f t="shared" si="72"/>
        <v>6.9239594344876254</v>
      </c>
      <c r="Y210">
        <f t="shared" si="73"/>
        <v>6.9855703462416123E-9</v>
      </c>
      <c r="Z210">
        <f t="shared" si="74"/>
        <v>0.89715794735444476</v>
      </c>
      <c r="AA210">
        <f t="shared" si="75"/>
        <v>2.3168131510416666E-11</v>
      </c>
      <c r="AC210">
        <f t="shared" si="76"/>
        <v>0.99927188287448132</v>
      </c>
      <c r="AD210">
        <f t="shared" si="108"/>
        <v>7.3800188222629632</v>
      </c>
      <c r="AE210">
        <f t="shared" si="77"/>
        <v>3.842305185166313</v>
      </c>
      <c r="AF210">
        <f t="shared" si="78"/>
        <v>2.8281674163893982E-6</v>
      </c>
      <c r="AG210">
        <f t="shared" si="109"/>
        <v>0.82814658104119288</v>
      </c>
      <c r="AH210">
        <f t="shared" si="110"/>
        <v>1.3433795227849642E-8</v>
      </c>
      <c r="AI210">
        <f t="shared" si="79"/>
        <v>17.83409492963985</v>
      </c>
      <c r="AJ210">
        <f t="shared" si="80"/>
        <v>2290435742.1020527</v>
      </c>
      <c r="AK210">
        <f t="shared" si="111"/>
        <v>61266.165535710788</v>
      </c>
      <c r="AL210">
        <f t="shared" si="112"/>
        <v>4664.3028417661444</v>
      </c>
      <c r="AM210">
        <f t="shared" si="81"/>
        <v>0.27591989759224361</v>
      </c>
      <c r="AN210">
        <f t="shared" si="113"/>
        <v>477.99581452066735</v>
      </c>
      <c r="AO210">
        <f t="shared" si="82"/>
        <v>0.10250889419437345</v>
      </c>
      <c r="AP210">
        <f t="shared" si="83"/>
        <v>1.1044160334757198</v>
      </c>
      <c r="AQ210">
        <f t="shared" si="84"/>
        <v>14.506634286549833</v>
      </c>
      <c r="AR210">
        <f t="shared" si="85"/>
        <v>67663.335527216565</v>
      </c>
      <c r="AS210">
        <f t="shared" si="85"/>
        <v>67663.335527216565</v>
      </c>
      <c r="AU210" s="2">
        <f t="shared" si="86"/>
        <v>1.0404477611940297</v>
      </c>
      <c r="AV210">
        <f t="shared" si="87"/>
        <v>0.50495026512848185</v>
      </c>
      <c r="AW210">
        <f t="shared" si="88"/>
        <v>1.7220280035680616E-2</v>
      </c>
      <c r="AX210">
        <f t="shared" si="88"/>
        <v>-0.29675139543370405</v>
      </c>
      <c r="AY210">
        <f t="shared" si="89"/>
        <v>0.48532015153648383</v>
      </c>
      <c r="BA210">
        <f t="shared" si="114"/>
        <v>252.47513256424085</v>
      </c>
      <c r="BG210">
        <f t="shared" si="115"/>
        <v>8.961412991973891E-15</v>
      </c>
      <c r="BH210">
        <f t="shared" si="90"/>
        <v>9.4664739961476105E-2</v>
      </c>
      <c r="BI210" s="4">
        <f t="shared" si="91"/>
        <v>1.2306555909236043</v>
      </c>
      <c r="BJ210" s="1">
        <f t="shared" si="92"/>
        <v>7.6922203628417618E-2</v>
      </c>
      <c r="BK210">
        <f t="shared" si="93"/>
        <v>-1.1139482828064953</v>
      </c>
      <c r="BL210">
        <f t="shared" si="94"/>
        <v>-1.023811753749537</v>
      </c>
      <c r="BN210">
        <f t="shared" si="116"/>
        <v>-23.065559092360431</v>
      </c>
    </row>
    <row r="211" spans="1:66">
      <c r="A211">
        <v>1.4134</v>
      </c>
      <c r="B211">
        <v>58.18</v>
      </c>
      <c r="C211">
        <f t="shared" si="95"/>
        <v>2.4134000000000002</v>
      </c>
      <c r="D211">
        <f t="shared" si="96"/>
        <v>1.4134000000000002</v>
      </c>
      <c r="E211">
        <f t="shared" si="97"/>
        <v>141340.00000000003</v>
      </c>
      <c r="F211">
        <f t="shared" si="98"/>
        <v>1054776119.4029852</v>
      </c>
      <c r="G211">
        <f t="shared" si="99"/>
        <v>3.01675</v>
      </c>
      <c r="H211">
        <f t="shared" si="64"/>
        <v>1.9301854396158822</v>
      </c>
      <c r="I211">
        <f t="shared" si="65"/>
        <v>9.6966666666666664E-4</v>
      </c>
      <c r="J211">
        <f t="shared" si="100"/>
        <v>1.8938802083333333E-11</v>
      </c>
      <c r="K211" s="1">
        <f t="shared" si="66"/>
        <v>7.6245144024303602E-2</v>
      </c>
      <c r="L211">
        <f t="shared" si="101"/>
        <v>7.6245144024303597E-8</v>
      </c>
      <c r="M211">
        <f t="shared" si="102"/>
        <v>0.9237548559756964</v>
      </c>
      <c r="N211">
        <f t="shared" si="103"/>
        <v>9.2375485597569638E-7</v>
      </c>
      <c r="O211">
        <f t="shared" si="104"/>
        <v>487.17728113285426</v>
      </c>
      <c r="P211">
        <f t="shared" si="67"/>
        <v>9.0007270277246828E-4</v>
      </c>
      <c r="Q211">
        <f t="shared" si="105"/>
        <v>2.8313352951391732E-15</v>
      </c>
      <c r="R211">
        <f t="shared" si="106"/>
        <v>1.4183121031131917E-18</v>
      </c>
      <c r="S211">
        <f t="shared" si="68"/>
        <v>1.6863923799024442E-14</v>
      </c>
      <c r="T211">
        <f t="shared" si="69"/>
        <v>8.8757493679076013E-18</v>
      </c>
      <c r="U211">
        <f t="shared" si="107"/>
        <v>4.6079927902908347E-13</v>
      </c>
      <c r="V211">
        <f t="shared" si="70"/>
        <v>1.926163900822294E-5</v>
      </c>
      <c r="W211">
        <f t="shared" si="71"/>
        <v>3.6597114115623587E-2</v>
      </c>
      <c r="X211">
        <f t="shared" si="72"/>
        <v>7.0646258167646936</v>
      </c>
      <c r="Y211">
        <f t="shared" si="73"/>
        <v>6.9758805915489859E-9</v>
      </c>
      <c r="Z211">
        <f t="shared" si="74"/>
        <v>0.91605592418411785</v>
      </c>
      <c r="AA211">
        <f t="shared" si="75"/>
        <v>2.3673502604166667E-11</v>
      </c>
      <c r="AC211">
        <f t="shared" si="76"/>
        <v>0.99928815268522264</v>
      </c>
      <c r="AD211">
        <f t="shared" si="108"/>
        <v>7.5408778731690429</v>
      </c>
      <c r="AE211">
        <f t="shared" si="77"/>
        <v>3.9040341745628195</v>
      </c>
      <c r="AF211">
        <f t="shared" si="78"/>
        <v>2.8252387710944114E-6</v>
      </c>
      <c r="AG211">
        <f t="shared" si="109"/>
        <v>0.84621110831038326</v>
      </c>
      <c r="AH211">
        <f t="shared" si="110"/>
        <v>1.3419884162698451E-8</v>
      </c>
      <c r="AI211">
        <f t="shared" si="79"/>
        <v>17.466182552392034</v>
      </c>
      <c r="AJ211">
        <f t="shared" si="80"/>
        <v>2293617241.5828609</v>
      </c>
      <c r="AK211">
        <f t="shared" si="111"/>
        <v>62296.103550917927</v>
      </c>
      <c r="AL211">
        <f t="shared" si="112"/>
        <v>4661.1132921253457</v>
      </c>
      <c r="AM211">
        <f t="shared" si="81"/>
        <v>0.27353593441039692</v>
      </c>
      <c r="AN211">
        <f t="shared" si="113"/>
        <v>477.99718160206663</v>
      </c>
      <c r="AO211">
        <f t="shared" si="82"/>
        <v>0.10250860339817226</v>
      </c>
      <c r="AP211">
        <f t="shared" si="83"/>
        <v>1.1028616940293929</v>
      </c>
      <c r="AQ211">
        <f t="shared" si="84"/>
        <v>14.739823297079441</v>
      </c>
      <c r="AR211">
        <f t="shared" si="85"/>
        <v>68703.986293595823</v>
      </c>
      <c r="AS211">
        <f t="shared" si="85"/>
        <v>68703.986293595823</v>
      </c>
      <c r="AU211" s="2">
        <f t="shared" si="86"/>
        <v>1.0547761194029852</v>
      </c>
      <c r="AV211">
        <f t="shared" si="87"/>
        <v>0.51271631562384934</v>
      </c>
      <c r="AW211">
        <f t="shared" si="88"/>
        <v>2.3160288613896157E-2</v>
      </c>
      <c r="AX211">
        <f t="shared" si="88"/>
        <v>-0.29012286225013378</v>
      </c>
      <c r="AY211">
        <f t="shared" si="89"/>
        <v>0.4860901817857351</v>
      </c>
      <c r="BA211">
        <f t="shared" si="114"/>
        <v>256.35815781192468</v>
      </c>
      <c r="BG211">
        <f t="shared" si="115"/>
        <v>8.816536349639796E-15</v>
      </c>
      <c r="BH211">
        <f t="shared" si="90"/>
        <v>9.3896412868862009E-2</v>
      </c>
      <c r="BI211" s="4">
        <f t="shared" si="91"/>
        <v>1.231506793913747</v>
      </c>
      <c r="BJ211" s="1">
        <f t="shared" si="92"/>
        <v>7.6245144024303602E-2</v>
      </c>
      <c r="BK211">
        <f t="shared" si="93"/>
        <v>-1.1177878108743617</v>
      </c>
      <c r="BL211">
        <f t="shared" si="94"/>
        <v>-1.027350998799027</v>
      </c>
      <c r="BN211">
        <f t="shared" si="116"/>
        <v>-23.150679391374691</v>
      </c>
    </row>
    <row r="212" spans="1:66">
      <c r="A212">
        <v>1.4325000000000001</v>
      </c>
      <c r="B212">
        <v>59.472999999999999</v>
      </c>
      <c r="C212">
        <f t="shared" si="95"/>
        <v>2.4325000000000001</v>
      </c>
      <c r="D212">
        <f t="shared" si="96"/>
        <v>1.4325000000000001</v>
      </c>
      <c r="E212">
        <f t="shared" si="97"/>
        <v>143250</v>
      </c>
      <c r="F212">
        <f t="shared" si="98"/>
        <v>1069029850.7462686</v>
      </c>
      <c r="G212">
        <f t="shared" si="99"/>
        <v>3.0406250000000004</v>
      </c>
      <c r="H212">
        <f t="shared" si="64"/>
        <v>1.9409859733642452</v>
      </c>
      <c r="I212">
        <f t="shared" si="65"/>
        <v>9.9121666666666659E-4</v>
      </c>
      <c r="J212">
        <f t="shared" si="100"/>
        <v>1.9359700520833332E-11</v>
      </c>
      <c r="K212" s="1">
        <f t="shared" si="66"/>
        <v>7.5037514298229024E-2</v>
      </c>
      <c r="L212">
        <f t="shared" si="101"/>
        <v>7.5037514298229022E-8</v>
      </c>
      <c r="M212">
        <f t="shared" si="102"/>
        <v>0.92496248570177098</v>
      </c>
      <c r="N212">
        <f t="shared" si="103"/>
        <v>9.2496248570177093E-7</v>
      </c>
      <c r="O212">
        <f t="shared" si="104"/>
        <v>494.40625401783092</v>
      </c>
      <c r="P212">
        <f t="shared" si="67"/>
        <v>9.146224405483037E-4</v>
      </c>
      <c r="Q212">
        <f t="shared" si="105"/>
        <v>2.7435340108604728E-15</v>
      </c>
      <c r="R212">
        <f t="shared" si="106"/>
        <v>1.3940515469611745E-18</v>
      </c>
      <c r="S212">
        <f t="shared" si="68"/>
        <v>1.6642334411797076E-14</v>
      </c>
      <c r="T212">
        <f t="shared" si="69"/>
        <v>8.7591233746300402E-18</v>
      </c>
      <c r="U212">
        <f t="shared" si="107"/>
        <v>4.5378546603167593E-13</v>
      </c>
      <c r="V212">
        <f t="shared" si="70"/>
        <v>1.9302344456352905E-5</v>
      </c>
      <c r="W212">
        <f t="shared" si="71"/>
        <v>3.6674454467070523E-2</v>
      </c>
      <c r="X212">
        <f t="shared" si="72"/>
        <v>7.2027862007548586</v>
      </c>
      <c r="Y212">
        <f t="shared" si="73"/>
        <v>6.8798997536313838E-9</v>
      </c>
      <c r="Z212">
        <f t="shared" si="74"/>
        <v>0.93519189054304175</v>
      </c>
      <c r="AA212">
        <f t="shared" si="75"/>
        <v>2.4199625651041666E-11</v>
      </c>
      <c r="AC212">
        <f t="shared" si="76"/>
        <v>0.99931276221332732</v>
      </c>
      <c r="AD212">
        <f t="shared" si="108"/>
        <v>7.7082775062458655</v>
      </c>
      <c r="AE212">
        <f t="shared" si="77"/>
        <v>3.9685913202773433</v>
      </c>
      <c r="AF212">
        <f t="shared" si="78"/>
        <v>2.7881155644480022E-6</v>
      </c>
      <c r="AG212">
        <f t="shared" si="109"/>
        <v>0.86501741568483037</v>
      </c>
      <c r="AH212">
        <f t="shared" si="110"/>
        <v>1.3243548931128009E-8</v>
      </c>
      <c r="AI212">
        <f t="shared" si="79"/>
        <v>17.10878821961257</v>
      </c>
      <c r="AJ212">
        <f t="shared" si="80"/>
        <v>2325615281.1753979</v>
      </c>
      <c r="AK212">
        <f t="shared" si="111"/>
        <v>63409.019230032682</v>
      </c>
      <c r="AL212">
        <f t="shared" si="112"/>
        <v>4602.7545230506048</v>
      </c>
      <c r="AM212">
        <f t="shared" si="81"/>
        <v>0.26942220663810457</v>
      </c>
      <c r="AN212">
        <f t="shared" si="113"/>
        <v>477.99854157488869</v>
      </c>
      <c r="AO212">
        <f t="shared" si="82"/>
        <v>0.10250831411568753</v>
      </c>
      <c r="AP212">
        <f t="shared" si="83"/>
        <v>1.100206341617546</v>
      </c>
      <c r="AQ212">
        <f t="shared" si="84"/>
        <v>15.156794637484493</v>
      </c>
      <c r="AR212">
        <f t="shared" si="85"/>
        <v>69763.005072630884</v>
      </c>
      <c r="AS212">
        <f t="shared" si="85"/>
        <v>69763.005072630898</v>
      </c>
      <c r="AU212" s="2">
        <f t="shared" si="86"/>
        <v>1.0690298507462686</v>
      </c>
      <c r="AV212">
        <f t="shared" si="87"/>
        <v>0.52061944084052902</v>
      </c>
      <c r="AW212">
        <f t="shared" si="88"/>
        <v>2.8989832274619914E-2</v>
      </c>
      <c r="AX212">
        <f t="shared" si="88"/>
        <v>-0.28347961860841153</v>
      </c>
      <c r="AY212">
        <f t="shared" si="89"/>
        <v>0.48700178061173399</v>
      </c>
      <c r="BA212">
        <f t="shared" si="114"/>
        <v>260.30972042026445</v>
      </c>
      <c r="BG212">
        <f t="shared" si="115"/>
        <v>8.5686099157469774E-15</v>
      </c>
      <c r="BH212">
        <f t="shared" si="90"/>
        <v>9.2566786245105087E-2</v>
      </c>
      <c r="BI212" s="4">
        <f t="shared" si="91"/>
        <v>1.2336067780338211</v>
      </c>
      <c r="BJ212" s="1">
        <f t="shared" si="92"/>
        <v>7.5037514298229024E-2</v>
      </c>
      <c r="BK212">
        <f t="shared" si="93"/>
        <v>-1.1247215608822283</v>
      </c>
      <c r="BL212">
        <f t="shared" si="94"/>
        <v>-1.0335448139443157</v>
      </c>
      <c r="BN212">
        <f t="shared" si="116"/>
        <v>-23.360677803382107</v>
      </c>
    </row>
    <row r="213" spans="1:66">
      <c r="A213">
        <v>1.4505999999999999</v>
      </c>
      <c r="B213">
        <v>61.250999999999998</v>
      </c>
      <c r="C213">
        <f t="shared" si="95"/>
        <v>2.4505999999999997</v>
      </c>
      <c r="D213">
        <f t="shared" si="96"/>
        <v>1.4505999999999997</v>
      </c>
      <c r="E213">
        <f t="shared" si="97"/>
        <v>145059.99999999997</v>
      </c>
      <c r="F213">
        <f t="shared" si="98"/>
        <v>1082537313.4328356</v>
      </c>
      <c r="G213">
        <f t="shared" si="99"/>
        <v>3.0632499999999996</v>
      </c>
      <c r="H213">
        <f t="shared" si="64"/>
        <v>1.9512210341414895</v>
      </c>
      <c r="I213">
        <f t="shared" si="65"/>
        <v>1.02085E-3</v>
      </c>
      <c r="J213">
        <f t="shared" si="100"/>
        <v>1.99384765625E-11</v>
      </c>
      <c r="K213" s="1">
        <f t="shared" si="66"/>
        <v>7.2250336978747942E-2</v>
      </c>
      <c r="L213">
        <f t="shared" si="101"/>
        <v>7.2250336978747937E-8</v>
      </c>
      <c r="M213">
        <f t="shared" si="102"/>
        <v>0.92774966302125206</v>
      </c>
      <c r="N213">
        <f t="shared" si="103"/>
        <v>9.2774966302125203E-7</v>
      </c>
      <c r="O213">
        <f t="shared" si="104"/>
        <v>502.16181387262236</v>
      </c>
      <c r="P213">
        <f t="shared" si="67"/>
        <v>9.317689205028928E-4</v>
      </c>
      <c r="Q213">
        <f t="shared" si="105"/>
        <v>2.5460270164595905E-15</v>
      </c>
      <c r="R213">
        <f t="shared" si="106"/>
        <v>1.3125364951080238E-18</v>
      </c>
      <c r="S213">
        <f t="shared" si="68"/>
        <v>1.5814521882756271E-14</v>
      </c>
      <c r="T213">
        <f t="shared" si="69"/>
        <v>8.3234325698717217E-18</v>
      </c>
      <c r="U213">
        <f t="shared" si="107"/>
        <v>4.375627927670879E-13</v>
      </c>
      <c r="V213">
        <f t="shared" si="70"/>
        <v>1.9022258536278783E-5</v>
      </c>
      <c r="W213">
        <f t="shared" si="71"/>
        <v>3.6142291218929687E-2</v>
      </c>
      <c r="X213">
        <f t="shared" si="72"/>
        <v>7.3736155252492992</v>
      </c>
      <c r="Y213">
        <f t="shared" si="73"/>
        <v>6.5282317993792804E-9</v>
      </c>
      <c r="Z213">
        <f t="shared" si="74"/>
        <v>0.96025678253766278</v>
      </c>
      <c r="AA213">
        <f t="shared" si="75"/>
        <v>2.4923095703125001E-11</v>
      </c>
      <c r="AC213">
        <f t="shared" si="76"/>
        <v>0.99936586956927653</v>
      </c>
      <c r="AD213">
        <f t="shared" si="108"/>
        <v>7.9383016752699938</v>
      </c>
      <c r="AE213">
        <f t="shared" si="77"/>
        <v>4.0657965539511371</v>
      </c>
      <c r="AF213">
        <f t="shared" si="78"/>
        <v>2.6494308739746233E-6</v>
      </c>
      <c r="AG213">
        <f t="shared" si="109"/>
        <v>0.8908779064131882</v>
      </c>
      <c r="AH213">
        <f t="shared" si="110"/>
        <v>1.258479665137946E-8</v>
      </c>
      <c r="AI213">
        <f t="shared" si="79"/>
        <v>16.662209828622018</v>
      </c>
      <c r="AJ213">
        <f t="shared" si="80"/>
        <v>2450893364.6506419</v>
      </c>
      <c r="AK213">
        <f t="shared" si="111"/>
        <v>65157.886259197672</v>
      </c>
      <c r="AL213">
        <f t="shared" si="112"/>
        <v>4380.1400933339974</v>
      </c>
      <c r="AM213">
        <f t="shared" si="81"/>
        <v>0.2592749188080638</v>
      </c>
      <c r="AN213">
        <f t="shared" si="113"/>
        <v>477.99983035565754</v>
      </c>
      <c r="AO213">
        <f t="shared" si="82"/>
        <v>0.10250803997808552</v>
      </c>
      <c r="AP213">
        <f t="shared" si="83"/>
        <v>1.0938012472654202</v>
      </c>
      <c r="AQ213">
        <f t="shared" si="84"/>
        <v>16.271118215591351</v>
      </c>
      <c r="AR213">
        <f t="shared" si="85"/>
        <v>71269.777259488794</v>
      </c>
      <c r="AS213">
        <f t="shared" si="85"/>
        <v>71269.777259488808</v>
      </c>
      <c r="AU213" s="2">
        <f t="shared" si="86"/>
        <v>1.0825373134328355</v>
      </c>
      <c r="AV213">
        <f t="shared" si="87"/>
        <v>0.53186400939917022</v>
      </c>
      <c r="AW213">
        <f t="shared" si="88"/>
        <v>3.4442874760919763E-2</v>
      </c>
      <c r="AX213">
        <f t="shared" si="88"/>
        <v>-0.27419939687283601</v>
      </c>
      <c r="AY213">
        <f t="shared" si="89"/>
        <v>0.49131240355362488</v>
      </c>
      <c r="BA213">
        <f t="shared" si="114"/>
        <v>265.93200469958504</v>
      </c>
      <c r="BG213">
        <f t="shared" si="115"/>
        <v>7.9702505216477478E-15</v>
      </c>
      <c r="BH213">
        <f t="shared" si="90"/>
        <v>8.9276259563490612E-2</v>
      </c>
      <c r="BI213" s="4">
        <f t="shared" si="91"/>
        <v>1.2356518086517818</v>
      </c>
      <c r="BJ213" s="1">
        <f t="shared" si="92"/>
        <v>7.2250336978747942E-2</v>
      </c>
      <c r="BK213">
        <f t="shared" si="93"/>
        <v>-1.1411601229981347</v>
      </c>
      <c r="BL213">
        <f t="shared" si="94"/>
        <v>-1.0492640138026159</v>
      </c>
      <c r="BN213">
        <f t="shared" si="116"/>
        <v>-23.565180865178188</v>
      </c>
    </row>
    <row r="214" spans="1:66">
      <c r="A214">
        <v>1.4704999999999999</v>
      </c>
      <c r="B214">
        <v>62.691000000000003</v>
      </c>
      <c r="C214">
        <f t="shared" si="95"/>
        <v>2.4704999999999999</v>
      </c>
      <c r="D214">
        <f t="shared" si="96"/>
        <v>1.4704999999999999</v>
      </c>
      <c r="E214">
        <f t="shared" si="97"/>
        <v>147050</v>
      </c>
      <c r="F214">
        <f t="shared" si="98"/>
        <v>1097388059.7014925</v>
      </c>
      <c r="G214">
        <f t="shared" si="99"/>
        <v>3.0881249999999998</v>
      </c>
      <c r="H214">
        <f t="shared" si="64"/>
        <v>1.9624739462667482</v>
      </c>
      <c r="I214">
        <f t="shared" si="65"/>
        <v>1.0448499999999999E-3</v>
      </c>
      <c r="J214">
        <f t="shared" si="100"/>
        <v>2.0407226562499998E-11</v>
      </c>
      <c r="K214" s="1">
        <f t="shared" si="66"/>
        <v>7.0333528897682296E-2</v>
      </c>
      <c r="L214">
        <f t="shared" si="101"/>
        <v>7.0333528897682296E-8</v>
      </c>
      <c r="M214">
        <f t="shared" si="102"/>
        <v>0.9296664711023177</v>
      </c>
      <c r="N214">
        <f t="shared" si="103"/>
        <v>9.2966647110231766E-7</v>
      </c>
      <c r="O214">
        <f t="shared" si="104"/>
        <v>510.10244244625301</v>
      </c>
      <c r="P214">
        <f t="shared" si="67"/>
        <v>9.4845832158381134E-4</v>
      </c>
      <c r="Q214">
        <f t="shared" si="105"/>
        <v>2.4143655748135036E-15</v>
      </c>
      <c r="R214">
        <f t="shared" si="106"/>
        <v>1.2633885443084764E-18</v>
      </c>
      <c r="S214">
        <f t="shared" si="68"/>
        <v>1.5318558894560188E-14</v>
      </c>
      <c r="T214">
        <f t="shared" si="69"/>
        <v>8.0623994181895719E-18</v>
      </c>
      <c r="U214">
        <f t="shared" si="107"/>
        <v>4.263777482229983E-13</v>
      </c>
      <c r="V214">
        <f t="shared" si="70"/>
        <v>1.8909052950795371E-5</v>
      </c>
      <c r="W214">
        <f t="shared" si="71"/>
        <v>3.5927200606511209E-2</v>
      </c>
      <c r="X214">
        <f t="shared" si="72"/>
        <v>7.5158789538772117</v>
      </c>
      <c r="Y214">
        <f t="shared" si="73"/>
        <v>6.3172170051772127E-9</v>
      </c>
      <c r="Z214">
        <f t="shared" si="74"/>
        <v>0.98080582036541353</v>
      </c>
      <c r="AA214">
        <f t="shared" si="75"/>
        <v>2.5509033203125E-11</v>
      </c>
      <c r="AC214">
        <f t="shared" si="76"/>
        <v>0.99939984533055393</v>
      </c>
      <c r="AD214">
        <f t="shared" si="108"/>
        <v>8.1246535042834829</v>
      </c>
      <c r="AE214">
        <f t="shared" si="77"/>
        <v>4.137521148238255</v>
      </c>
      <c r="AF214">
        <f t="shared" si="78"/>
        <v>2.566341441172177E-6</v>
      </c>
      <c r="AG214">
        <f t="shared" si="109"/>
        <v>0.91182228585572778</v>
      </c>
      <c r="AH214">
        <f t="shared" si="110"/>
        <v>1.2190121845567839E-8</v>
      </c>
      <c r="AI214">
        <f t="shared" si="79"/>
        <v>16.313116896103825</v>
      </c>
      <c r="AJ214">
        <f t="shared" si="80"/>
        <v>2532760863.9828835</v>
      </c>
      <c r="AK214">
        <f t="shared" si="111"/>
        <v>66444.331040288525</v>
      </c>
      <c r="AL214">
        <f t="shared" si="112"/>
        <v>4246.9921686122616</v>
      </c>
      <c r="AM214">
        <f t="shared" si="81"/>
        <v>0.25282019584915416</v>
      </c>
      <c r="AN214">
        <f t="shared" si="113"/>
        <v>478.00124731450069</v>
      </c>
      <c r="AO214">
        <f t="shared" si="82"/>
        <v>0.10250773857733127</v>
      </c>
      <c r="AP214">
        <f t="shared" si="83"/>
        <v>1.0898340779723794</v>
      </c>
      <c r="AQ214">
        <f t="shared" si="84"/>
        <v>17.050489706800192</v>
      </c>
      <c r="AR214">
        <f t="shared" si="85"/>
        <v>72413.2962557844</v>
      </c>
      <c r="AS214">
        <f t="shared" si="85"/>
        <v>72413.2962557844</v>
      </c>
      <c r="AU214" s="2">
        <f t="shared" si="86"/>
        <v>1.0973880597014924</v>
      </c>
      <c r="AV214">
        <f t="shared" si="87"/>
        <v>0.54039773325212237</v>
      </c>
      <c r="AW214">
        <f t="shared" si="88"/>
        <v>4.0360230478280482E-2</v>
      </c>
      <c r="AX214">
        <f t="shared" si="88"/>
        <v>-0.26728648133424049</v>
      </c>
      <c r="AY214">
        <f t="shared" si="89"/>
        <v>0.49243996093699016</v>
      </c>
      <c r="BA214">
        <f t="shared" si="114"/>
        <v>270.19886662606115</v>
      </c>
      <c r="BG214">
        <f t="shared" si="115"/>
        <v>7.5983781078514669E-15</v>
      </c>
      <c r="BH214">
        <f t="shared" si="90"/>
        <v>8.7168676185034891E-2</v>
      </c>
      <c r="BI214" s="4">
        <f t="shared" si="91"/>
        <v>1.2393616181528944</v>
      </c>
      <c r="BJ214" s="1">
        <f t="shared" si="92"/>
        <v>7.0333528897682296E-2</v>
      </c>
      <c r="BK214">
        <f t="shared" si="93"/>
        <v>-1.1528375918523082</v>
      </c>
      <c r="BL214">
        <f t="shared" si="94"/>
        <v>-1.0596395495162281</v>
      </c>
      <c r="BN214">
        <f t="shared" si="116"/>
        <v>-23.936161815289442</v>
      </c>
    </row>
    <row r="215" spans="1:66">
      <c r="A215">
        <v>1.4913000000000001</v>
      </c>
      <c r="B215">
        <v>64.447999999999993</v>
      </c>
      <c r="C215">
        <f t="shared" si="95"/>
        <v>2.4912999999999998</v>
      </c>
      <c r="D215">
        <f t="shared" si="96"/>
        <v>1.4912999999999998</v>
      </c>
      <c r="E215">
        <f t="shared" si="97"/>
        <v>149129.99999999997</v>
      </c>
      <c r="F215">
        <f t="shared" si="98"/>
        <v>1112910447.7611938</v>
      </c>
      <c r="G215">
        <f t="shared" si="99"/>
        <v>3.1141249999999996</v>
      </c>
      <c r="H215">
        <f t="shared" si="64"/>
        <v>1.974235784066013</v>
      </c>
      <c r="I215">
        <f t="shared" si="65"/>
        <v>1.0741333333333333E-3</v>
      </c>
      <c r="J215">
        <f t="shared" si="100"/>
        <v>2.0979166666666665E-11</v>
      </c>
      <c r="K215" s="1">
        <f t="shared" si="66"/>
        <v>6.8053753403006789E-2</v>
      </c>
      <c r="L215">
        <f t="shared" si="101"/>
        <v>6.8053753403006788E-8</v>
      </c>
      <c r="M215">
        <f t="shared" si="102"/>
        <v>0.93194624659699321</v>
      </c>
      <c r="N215">
        <f t="shared" si="103"/>
        <v>9.3194624659699313E-7</v>
      </c>
      <c r="O215">
        <f t="shared" si="104"/>
        <v>518.58635729481171</v>
      </c>
      <c r="P215">
        <f t="shared" si="67"/>
        <v>9.665973043912529E-4</v>
      </c>
      <c r="Q215">
        <f t="shared" si="105"/>
        <v>2.262208066085675E-15</v>
      </c>
      <c r="R215">
        <f t="shared" si="106"/>
        <v>1.2023800074037024E-18</v>
      </c>
      <c r="S215">
        <f t="shared" si="68"/>
        <v>1.4687746772411322E-14</v>
      </c>
      <c r="T215">
        <f t="shared" si="69"/>
        <v>7.730393038111222E-18</v>
      </c>
      <c r="U215">
        <f t="shared" si="107"/>
        <v>4.1304464347633456E-13</v>
      </c>
      <c r="V215">
        <f t="shared" si="70"/>
        <v>1.8715635610352941E-5</v>
      </c>
      <c r="W215">
        <f t="shared" si="71"/>
        <v>3.5559707659670592E-2</v>
      </c>
      <c r="X215">
        <f t="shared" si="72"/>
        <v>7.6887658157036824</v>
      </c>
      <c r="Y215">
        <f t="shared" si="73"/>
        <v>6.0499289403855839E-9</v>
      </c>
      <c r="Z215">
        <f t="shared" si="74"/>
        <v>1.0058276871011109</v>
      </c>
      <c r="AA215">
        <f t="shared" si="75"/>
        <v>2.6223958333333332E-11</v>
      </c>
      <c r="AC215">
        <f t="shared" si="76"/>
        <v>0.99944022466984117</v>
      </c>
      <c r="AD215">
        <f t="shared" si="108"/>
        <v>8.3520204473752244</v>
      </c>
      <c r="AE215">
        <f t="shared" si="77"/>
        <v>4.2281399515412135</v>
      </c>
      <c r="AF215">
        <f t="shared" si="78"/>
        <v>2.4606605281172416E-6</v>
      </c>
      <c r="AG215">
        <f t="shared" si="109"/>
        <v>0.9373773377172151</v>
      </c>
      <c r="AH215">
        <f t="shared" si="110"/>
        <v>1.1688137508556897E-8</v>
      </c>
      <c r="AI215">
        <f t="shared" si="79"/>
        <v>15.907297249008417</v>
      </c>
      <c r="AJ215">
        <f t="shared" si="80"/>
        <v>2644659161.7289743</v>
      </c>
      <c r="AK215">
        <f t="shared" si="111"/>
        <v>68066.082550391162</v>
      </c>
      <c r="AL215">
        <f t="shared" si="112"/>
        <v>4076.9136561517989</v>
      </c>
      <c r="AM215">
        <f t="shared" si="81"/>
        <v>0.24473742078295235</v>
      </c>
      <c r="AN215">
        <f t="shared" si="113"/>
        <v>478.00272837037852</v>
      </c>
      <c r="AO215">
        <f t="shared" si="82"/>
        <v>0.10250742354440921</v>
      </c>
      <c r="AP215">
        <f t="shared" si="83"/>
        <v>1.0849838075808562</v>
      </c>
      <c r="AQ215">
        <f t="shared" si="84"/>
        <v>18.114339336375327</v>
      </c>
      <c r="AR215">
        <f t="shared" si="85"/>
        <v>73850.597412636285</v>
      </c>
      <c r="AS215">
        <f t="shared" si="85"/>
        <v>73850.597412636285</v>
      </c>
      <c r="AU215" s="2">
        <f t="shared" si="86"/>
        <v>1.1129104477611937</v>
      </c>
      <c r="AV215">
        <f t="shared" si="87"/>
        <v>0.55112386128833035</v>
      </c>
      <c r="AW215">
        <f t="shared" si="88"/>
        <v>4.6460219493853878E-2</v>
      </c>
      <c r="AX215">
        <f t="shared" si="88"/>
        <v>-0.25875078548783559</v>
      </c>
      <c r="AY215">
        <f t="shared" si="89"/>
        <v>0.49520953136616569</v>
      </c>
      <c r="BA215">
        <f t="shared" si="114"/>
        <v>275.56193064416522</v>
      </c>
      <c r="BG215">
        <f t="shared" si="115"/>
        <v>7.1436878740545829E-15</v>
      </c>
      <c r="BH215">
        <f t="shared" si="90"/>
        <v>8.4520340002005326E-2</v>
      </c>
      <c r="BI215" s="4">
        <f t="shared" si="91"/>
        <v>1.2419644145339821</v>
      </c>
      <c r="BJ215" s="1">
        <f t="shared" si="92"/>
        <v>6.8053753403006789E-2</v>
      </c>
      <c r="BK215">
        <f t="shared" si="93"/>
        <v>-1.16714791693734</v>
      </c>
      <c r="BL215">
        <f t="shared" si="94"/>
        <v>-1.0730387645693487</v>
      </c>
      <c r="BN215">
        <f t="shared" si="116"/>
        <v>-24.196441453398222</v>
      </c>
    </row>
    <row r="216" spans="1:66">
      <c r="K216" s="4"/>
      <c r="L216" s="4"/>
      <c r="M216" s="4"/>
      <c r="N216" s="4"/>
      <c r="O216" s="4"/>
      <c r="P216" s="4"/>
      <c r="AU216" s="4"/>
      <c r="AV216" s="4"/>
      <c r="AW216" s="4"/>
      <c r="AX216" s="4"/>
      <c r="AY216" s="4"/>
      <c r="AZ216" s="4"/>
      <c r="BA216" s="4"/>
      <c r="BB216" s="4"/>
      <c r="BC216" s="4"/>
      <c r="BD216" s="4"/>
      <c r="BE216" s="4"/>
      <c r="BF216" s="4"/>
      <c r="BG216" s="4"/>
      <c r="BH216" s="1" t="s">
        <v>106</v>
      </c>
      <c r="BI216" s="4">
        <f>AVERAGE(BI202:BI215)</f>
        <v>1.2262647630408865</v>
      </c>
      <c r="BJ216" s="4"/>
      <c r="BK216" s="4"/>
      <c r="BL216" s="4"/>
      <c r="BM216" s="1" t="s">
        <v>106</v>
      </c>
      <c r="BN216">
        <f>AVERAGE(BN202:BN215)</f>
        <v>-22.626476304088662</v>
      </c>
    </row>
    <row r="217" spans="1:66">
      <c r="A217" s="1" t="s">
        <v>107</v>
      </c>
      <c r="K217" s="4"/>
      <c r="L217" s="4"/>
      <c r="M217" s="4"/>
      <c r="N217" s="4"/>
      <c r="O217" s="4"/>
      <c r="P217" s="4"/>
      <c r="AU217" s="4"/>
      <c r="AV217" s="4"/>
      <c r="AW217" s="4"/>
      <c r="AX217" s="4"/>
      <c r="AY217" s="4"/>
      <c r="AZ217" s="4"/>
      <c r="BA217" s="4"/>
      <c r="BB217" s="4"/>
      <c r="BC217" s="4"/>
      <c r="BD217" s="4"/>
      <c r="BE217" s="4"/>
      <c r="BF217" s="4"/>
      <c r="BG217" s="4"/>
      <c r="BH217" s="1" t="s">
        <v>108</v>
      </c>
      <c r="BI217" s="4">
        <f>_xlfn.VAR.S(BI202:BI215)</f>
        <v>9.4176044899271679E-5</v>
      </c>
      <c r="BJ217" s="4"/>
      <c r="BK217" s="4"/>
      <c r="BL217" s="4"/>
      <c r="BM217" s="1" t="s">
        <v>108</v>
      </c>
      <c r="BN217">
        <f>_xlfn.VAR.S(BN202:BN215)</f>
        <v>0.94176044899271638</v>
      </c>
    </row>
    <row r="218" spans="1:66">
      <c r="A218" t="s">
        <v>28</v>
      </c>
      <c r="B218" t="s">
        <v>29</v>
      </c>
      <c r="C218" t="s">
        <v>51</v>
      </c>
      <c r="D218" t="s">
        <v>52</v>
      </c>
      <c r="E218" t="s">
        <v>53</v>
      </c>
      <c r="F218" s="3" t="s">
        <v>54</v>
      </c>
      <c r="G218" t="s">
        <v>55</v>
      </c>
      <c r="H218" t="s">
        <v>56</v>
      </c>
      <c r="I218" t="s">
        <v>57</v>
      </c>
      <c r="J218" t="s">
        <v>58</v>
      </c>
      <c r="K218" s="4"/>
      <c r="L218" s="4"/>
      <c r="M218" s="4"/>
      <c r="N218" s="4"/>
      <c r="O218" s="4"/>
      <c r="P218" s="4"/>
      <c r="BH218" s="1" t="s">
        <v>109</v>
      </c>
      <c r="BI218">
        <f>BI217^0.5</f>
        <v>9.7044342905329463E-3</v>
      </c>
      <c r="BM218" s="1" t="s">
        <v>109</v>
      </c>
      <c r="BN218">
        <f>BN217^0.5</f>
        <v>0.97044342905329439</v>
      </c>
    </row>
    <row r="219" spans="1:66">
      <c r="A219">
        <v>1.2342</v>
      </c>
      <c r="B219">
        <v>67.415000000000006</v>
      </c>
      <c r="C219">
        <f>A219+1</f>
        <v>2.2342</v>
      </c>
      <c r="D219">
        <f>C219-1</f>
        <v>1.2342</v>
      </c>
      <c r="E219">
        <f>D219*100000</f>
        <v>123420</v>
      </c>
      <c r="F219">
        <f>E219/(0.000134)</f>
        <v>921044776.119403</v>
      </c>
      <c r="G219">
        <f>1.25*C219/1</f>
        <v>2.7927499999999998</v>
      </c>
      <c r="H219">
        <f t="shared" ref="H219:H232" si="117">(((((C219+1)*100000)/2)*28.02)/(8.314*298))/1000</f>
        <v>1.8288526831914471</v>
      </c>
      <c r="I219">
        <f t="shared" ref="I219:I232" si="118">B219/60000</f>
        <v>1.1235833333333334E-3</v>
      </c>
      <c r="J219">
        <f>I219/51200000</f>
        <v>2.1944986979166668E-11</v>
      </c>
      <c r="K219" s="4"/>
      <c r="L219" s="4"/>
      <c r="M219" s="4"/>
      <c r="N219" s="4"/>
      <c r="O219" s="4"/>
      <c r="P219" s="4"/>
      <c r="BH219" s="1" t="s">
        <v>110</v>
      </c>
      <c r="BI219">
        <f>BI218*100</f>
        <v>0.97044342905329462</v>
      </c>
    </row>
    <row r="220" spans="1:66">
      <c r="A220" s="1">
        <v>1.2555000000000001</v>
      </c>
      <c r="B220" s="1">
        <v>68.488</v>
      </c>
      <c r="C220">
        <f>A220+1</f>
        <v>2.2555000000000001</v>
      </c>
      <c r="D220">
        <f>C220-1</f>
        <v>1.2555000000000001</v>
      </c>
      <c r="E220">
        <f>D220*100000</f>
        <v>125550</v>
      </c>
      <c r="F220">
        <f>E220/(0.000134)</f>
        <v>936940298.50746262</v>
      </c>
      <c r="G220">
        <f>1.25*C220/1</f>
        <v>2.819375</v>
      </c>
      <c r="H220">
        <f t="shared" si="117"/>
        <v>1.840897257476271</v>
      </c>
      <c r="I220">
        <f t="shared" si="118"/>
        <v>1.1414666666666666E-3</v>
      </c>
      <c r="J220">
        <f>I220/51200000</f>
        <v>2.2294270833333331E-11</v>
      </c>
      <c r="K220" s="4"/>
      <c r="L220" s="4"/>
      <c r="M220" s="4"/>
      <c r="N220" s="4"/>
      <c r="O220" s="4"/>
      <c r="P220" s="4"/>
    </row>
    <row r="221" spans="1:66">
      <c r="A221">
        <v>1.2722</v>
      </c>
      <c r="B221">
        <v>69.978999999999999</v>
      </c>
      <c r="C221">
        <f t="shared" ref="C221:C232" si="119">A221+1</f>
        <v>2.2721999999999998</v>
      </c>
      <c r="D221">
        <f t="shared" ref="D221:D232" si="120">C221-1</f>
        <v>1.2721999999999998</v>
      </c>
      <c r="E221">
        <f t="shared" ref="E221:E232" si="121">D221*100000</f>
        <v>127219.99999999997</v>
      </c>
      <c r="F221">
        <f t="shared" ref="F221:F232" si="122">E221/(0.000134)</f>
        <v>949402985.07462656</v>
      </c>
      <c r="G221">
        <f t="shared" ref="G221:G232" si="123">1.25*C221/1</f>
        <v>2.8402499999999997</v>
      </c>
      <c r="H221">
        <f t="shared" si="117"/>
        <v>1.8503406560939499</v>
      </c>
      <c r="I221">
        <f t="shared" si="118"/>
        <v>1.1663166666666667E-3</v>
      </c>
      <c r="J221">
        <f t="shared" ref="J221:J232" si="124">I221/51200000</f>
        <v>2.2779622395833333E-11</v>
      </c>
    </row>
    <row r="222" spans="1:66">
      <c r="A222">
        <v>1.292</v>
      </c>
      <c r="B222">
        <v>71.337000000000003</v>
      </c>
      <c r="C222">
        <f t="shared" si="119"/>
        <v>2.2919999999999998</v>
      </c>
      <c r="D222">
        <f t="shared" si="120"/>
        <v>1.2919999999999998</v>
      </c>
      <c r="E222">
        <f t="shared" si="121"/>
        <v>129199.99999999999</v>
      </c>
      <c r="F222">
        <f t="shared" si="122"/>
        <v>964179104.47761178</v>
      </c>
      <c r="G222">
        <f t="shared" si="123"/>
        <v>2.8649999999999998</v>
      </c>
      <c r="H222">
        <f t="shared" si="117"/>
        <v>1.8615370209220963</v>
      </c>
      <c r="I222">
        <f t="shared" si="118"/>
        <v>1.18895E-3</v>
      </c>
      <c r="J222">
        <f t="shared" si="124"/>
        <v>2.3221679687500001E-11</v>
      </c>
    </row>
    <row r="223" spans="1:66">
      <c r="A223">
        <v>1.3113999999999999</v>
      </c>
      <c r="B223">
        <v>72.914000000000001</v>
      </c>
      <c r="C223">
        <f t="shared" si="119"/>
        <v>2.3113999999999999</v>
      </c>
      <c r="D223">
        <f t="shared" si="120"/>
        <v>1.3113999999999999</v>
      </c>
      <c r="E223">
        <f t="shared" si="121"/>
        <v>131140</v>
      </c>
      <c r="F223">
        <f t="shared" si="122"/>
        <v>978656716.41791046</v>
      </c>
      <c r="G223">
        <f t="shared" si="123"/>
        <v>2.8892499999999997</v>
      </c>
      <c r="H223">
        <f t="shared" si="117"/>
        <v>1.8725071965617952</v>
      </c>
      <c r="I223">
        <f t="shared" si="118"/>
        <v>1.2152333333333334E-3</v>
      </c>
      <c r="J223">
        <f t="shared" si="124"/>
        <v>2.3735026041666669E-11</v>
      </c>
    </row>
    <row r="224" spans="1:66">
      <c r="A224">
        <v>1.3324</v>
      </c>
      <c r="B224">
        <v>74.209999999999994</v>
      </c>
      <c r="C224">
        <f t="shared" si="119"/>
        <v>2.3323999999999998</v>
      </c>
      <c r="D224">
        <f t="shared" si="120"/>
        <v>1.3323999999999998</v>
      </c>
      <c r="E224">
        <f t="shared" si="121"/>
        <v>133239.99999999997</v>
      </c>
      <c r="F224">
        <f t="shared" si="122"/>
        <v>994328358.20895493</v>
      </c>
      <c r="G224">
        <f t="shared" si="123"/>
        <v>2.9154999999999998</v>
      </c>
      <c r="H224">
        <f t="shared" si="117"/>
        <v>1.8843821289552836</v>
      </c>
      <c r="I224">
        <f t="shared" si="118"/>
        <v>1.2368333333333333E-3</v>
      </c>
      <c r="J224">
        <f t="shared" si="124"/>
        <v>2.4156901041666666E-11</v>
      </c>
    </row>
    <row r="225" spans="1:69">
      <c r="A225">
        <v>1.3512999999999999</v>
      </c>
      <c r="B225">
        <v>75.769000000000005</v>
      </c>
      <c r="C225">
        <f t="shared" si="119"/>
        <v>2.3513000000000002</v>
      </c>
      <c r="D225">
        <f t="shared" si="120"/>
        <v>1.3513000000000002</v>
      </c>
      <c r="E225">
        <f t="shared" si="121"/>
        <v>135130.00000000003</v>
      </c>
      <c r="F225">
        <f t="shared" si="122"/>
        <v>1008432835.8208957</v>
      </c>
      <c r="G225">
        <f t="shared" si="123"/>
        <v>2.9391250000000002</v>
      </c>
      <c r="H225">
        <f t="shared" si="117"/>
        <v>1.895069568109423</v>
      </c>
      <c r="I225">
        <f t="shared" si="118"/>
        <v>1.2628166666666667E-3</v>
      </c>
      <c r="J225">
        <f t="shared" si="124"/>
        <v>2.4664388020833334E-11</v>
      </c>
    </row>
    <row r="226" spans="1:69">
      <c r="A226">
        <v>1.3752</v>
      </c>
      <c r="B226">
        <v>77.006</v>
      </c>
      <c r="C226">
        <f t="shared" si="119"/>
        <v>2.3752</v>
      </c>
      <c r="D226">
        <f t="shared" si="120"/>
        <v>1.3752</v>
      </c>
      <c r="E226">
        <f t="shared" si="121"/>
        <v>137520</v>
      </c>
      <c r="F226">
        <f t="shared" si="122"/>
        <v>1026268656.7164179</v>
      </c>
      <c r="G226">
        <f t="shared" si="123"/>
        <v>2.9689999999999999</v>
      </c>
      <c r="H226">
        <f t="shared" si="117"/>
        <v>1.9085843721191553</v>
      </c>
      <c r="I226">
        <f t="shared" si="118"/>
        <v>1.2834333333333334E-3</v>
      </c>
      <c r="J226">
        <f t="shared" si="124"/>
        <v>2.5067057291666667E-11</v>
      </c>
    </row>
    <row r="227" spans="1:69">
      <c r="A227">
        <v>1.3912</v>
      </c>
      <c r="B227">
        <v>78.424000000000007</v>
      </c>
      <c r="C227">
        <f t="shared" si="119"/>
        <v>2.3912</v>
      </c>
      <c r="D227">
        <f t="shared" si="120"/>
        <v>1.3912</v>
      </c>
      <c r="E227">
        <f t="shared" si="121"/>
        <v>139120</v>
      </c>
      <c r="F227">
        <f t="shared" si="122"/>
        <v>1038208955.2238805</v>
      </c>
      <c r="G227">
        <f t="shared" si="123"/>
        <v>2.9889999999999999</v>
      </c>
      <c r="H227">
        <f t="shared" si="117"/>
        <v>1.9176319396570514</v>
      </c>
      <c r="I227">
        <f t="shared" si="118"/>
        <v>1.3070666666666667E-3</v>
      </c>
      <c r="J227">
        <f t="shared" si="124"/>
        <v>2.5528645833333335E-11</v>
      </c>
    </row>
    <row r="228" spans="1:69">
      <c r="A228">
        <v>1.4136</v>
      </c>
      <c r="B228">
        <v>79.900000000000006</v>
      </c>
      <c r="C228">
        <f t="shared" si="119"/>
        <v>2.4135999999999997</v>
      </c>
      <c r="D228">
        <f t="shared" si="120"/>
        <v>1.4135999999999997</v>
      </c>
      <c r="E228">
        <f t="shared" si="121"/>
        <v>141359.99999999997</v>
      </c>
      <c r="F228">
        <f t="shared" si="122"/>
        <v>1054925373.1343281</v>
      </c>
      <c r="G228">
        <f t="shared" si="123"/>
        <v>3.0169999999999995</v>
      </c>
      <c r="H228">
        <f t="shared" si="117"/>
        <v>1.9302985342101056</v>
      </c>
      <c r="I228">
        <f t="shared" si="118"/>
        <v>1.3316666666666668E-3</v>
      </c>
      <c r="J228">
        <f t="shared" si="124"/>
        <v>2.6009114583333334E-11</v>
      </c>
    </row>
    <row r="229" spans="1:69">
      <c r="A229">
        <v>1.4311</v>
      </c>
      <c r="B229">
        <v>81.25</v>
      </c>
      <c r="C229">
        <f t="shared" si="119"/>
        <v>2.4310999999999998</v>
      </c>
      <c r="D229">
        <f t="shared" si="120"/>
        <v>1.4310999999999998</v>
      </c>
      <c r="E229">
        <f t="shared" si="121"/>
        <v>143109.99999999997</v>
      </c>
      <c r="F229">
        <f t="shared" si="122"/>
        <v>1067985074.6268654</v>
      </c>
      <c r="G229">
        <f t="shared" si="123"/>
        <v>3.038875</v>
      </c>
      <c r="H229">
        <f t="shared" si="117"/>
        <v>1.9401943112046793</v>
      </c>
      <c r="I229">
        <f t="shared" si="118"/>
        <v>1.3541666666666667E-3</v>
      </c>
      <c r="J229">
        <f t="shared" si="124"/>
        <v>2.6448567708333334E-11</v>
      </c>
    </row>
    <row r="230" spans="1:69">
      <c r="A230">
        <v>1.4521999999999999</v>
      </c>
      <c r="B230">
        <v>82.677999999999997</v>
      </c>
      <c r="C230">
        <f t="shared" si="119"/>
        <v>2.4521999999999999</v>
      </c>
      <c r="D230">
        <f t="shared" si="120"/>
        <v>1.4521999999999999</v>
      </c>
      <c r="E230">
        <f t="shared" si="121"/>
        <v>145220</v>
      </c>
      <c r="F230">
        <f t="shared" si="122"/>
        <v>1083731343.283582</v>
      </c>
      <c r="G230">
        <f t="shared" si="123"/>
        <v>3.0652499999999998</v>
      </c>
      <c r="H230">
        <f t="shared" si="117"/>
        <v>1.9521257908952798</v>
      </c>
      <c r="I230">
        <f t="shared" si="118"/>
        <v>1.3779666666666665E-3</v>
      </c>
      <c r="J230">
        <f t="shared" si="124"/>
        <v>2.6913411458333331E-11</v>
      </c>
    </row>
    <row r="231" spans="1:69">
      <c r="A231">
        <v>1.4738</v>
      </c>
      <c r="B231">
        <v>83.926000000000002</v>
      </c>
      <c r="C231">
        <f t="shared" si="119"/>
        <v>2.4737999999999998</v>
      </c>
      <c r="D231">
        <f t="shared" si="120"/>
        <v>1.4737999999999998</v>
      </c>
      <c r="E231">
        <f t="shared" si="121"/>
        <v>147379.99999999997</v>
      </c>
      <c r="F231">
        <f t="shared" si="122"/>
        <v>1099850746.2686565</v>
      </c>
      <c r="G231">
        <f t="shared" si="123"/>
        <v>3.0922499999999999</v>
      </c>
      <c r="H231">
        <f t="shared" si="117"/>
        <v>1.9643400070714392</v>
      </c>
      <c r="I231">
        <f t="shared" si="118"/>
        <v>1.3987666666666666E-3</v>
      </c>
      <c r="J231">
        <f t="shared" si="124"/>
        <v>2.7319661458333333E-11</v>
      </c>
    </row>
    <row r="232" spans="1:69">
      <c r="A232">
        <v>1.4912000000000001</v>
      </c>
      <c r="B232">
        <v>85.436999999999998</v>
      </c>
      <c r="C232">
        <f t="shared" si="119"/>
        <v>2.4912000000000001</v>
      </c>
      <c r="D232">
        <f t="shared" si="120"/>
        <v>1.4912000000000001</v>
      </c>
      <c r="E232">
        <f t="shared" si="121"/>
        <v>149120</v>
      </c>
      <c r="F232">
        <f t="shared" si="122"/>
        <v>1112835820.8955224</v>
      </c>
      <c r="G232">
        <f t="shared" si="123"/>
        <v>3.1139999999999999</v>
      </c>
      <c r="H232">
        <f t="shared" si="117"/>
        <v>1.9741792367689011</v>
      </c>
      <c r="I232">
        <f t="shared" si="118"/>
        <v>1.42395E-3</v>
      </c>
      <c r="J232">
        <f t="shared" si="124"/>
        <v>2.78115234375E-11</v>
      </c>
    </row>
    <row r="234" spans="1:69">
      <c r="A234" s="8" t="s">
        <v>111</v>
      </c>
    </row>
    <row r="235" spans="1:69">
      <c r="A235" s="1" t="s">
        <v>49</v>
      </c>
      <c r="K235" s="9" t="s">
        <v>50</v>
      </c>
      <c r="L235" s="9"/>
      <c r="M235" s="9"/>
    </row>
    <row r="236" spans="1:69">
      <c r="A236" t="s">
        <v>44</v>
      </c>
      <c r="B236" t="s">
        <v>45</v>
      </c>
      <c r="C236" t="s">
        <v>51</v>
      </c>
      <c r="D236" t="s">
        <v>52</v>
      </c>
      <c r="E236" t="s">
        <v>53</v>
      </c>
      <c r="F236" s="3" t="s">
        <v>54</v>
      </c>
      <c r="G236" t="s">
        <v>55</v>
      </c>
      <c r="H236" t="s">
        <v>56</v>
      </c>
      <c r="I236" t="s">
        <v>57</v>
      </c>
      <c r="J236" t="s">
        <v>58</v>
      </c>
      <c r="K236" s="1" t="s">
        <v>59</v>
      </c>
      <c r="L236" t="s">
        <v>60</v>
      </c>
      <c r="M236" t="s">
        <v>61</v>
      </c>
      <c r="N236" t="s">
        <v>62</v>
      </c>
      <c r="O236" t="s">
        <v>63</v>
      </c>
      <c r="P236" s="10" t="s">
        <v>64</v>
      </c>
      <c r="Q236" s="10" t="s">
        <v>65</v>
      </c>
      <c r="R236" s="10" t="s">
        <v>66</v>
      </c>
      <c r="S236" s="10" t="s">
        <v>67</v>
      </c>
      <c r="T236" s="10" t="s">
        <v>68</v>
      </c>
      <c r="U236" s="3" t="s">
        <v>69</v>
      </c>
      <c r="V236" s="10" t="s">
        <v>70</v>
      </c>
      <c r="W236" s="10" t="s">
        <v>71</v>
      </c>
      <c r="X236" s="11" t="s">
        <v>72</v>
      </c>
      <c r="Y236" s="11" t="s">
        <v>73</v>
      </c>
      <c r="Z236" s="11" t="s">
        <v>74</v>
      </c>
      <c r="AA236" s="11" t="s">
        <v>75</v>
      </c>
      <c r="AB236" s="12"/>
      <c r="AC236" s="12" t="s">
        <v>76</v>
      </c>
      <c r="AD236" s="12" t="s">
        <v>77</v>
      </c>
      <c r="AE236" s="13" t="s">
        <v>78</v>
      </c>
      <c r="AF236" s="13" t="s">
        <v>79</v>
      </c>
      <c r="AG236" s="13" t="s">
        <v>80</v>
      </c>
      <c r="AH236" s="13" t="s">
        <v>81</v>
      </c>
      <c r="AI236" s="12" t="s">
        <v>82</v>
      </c>
      <c r="AJ236" s="12" t="s">
        <v>83</v>
      </c>
      <c r="AK236" s="12" t="s">
        <v>84</v>
      </c>
      <c r="AL236" s="12" t="s">
        <v>85</v>
      </c>
      <c r="AM236" s="12" t="s">
        <v>86</v>
      </c>
      <c r="AN236" s="12" t="s">
        <v>112</v>
      </c>
      <c r="AO236" s="12" t="s">
        <v>113</v>
      </c>
      <c r="AP236" s="12" t="s">
        <v>114</v>
      </c>
      <c r="AQ236" s="12" t="s">
        <v>115</v>
      </c>
      <c r="AR236" s="12" t="s">
        <v>89</v>
      </c>
      <c r="AS236" s="12" t="s">
        <v>90</v>
      </c>
      <c r="AT236" s="12" t="s">
        <v>91</v>
      </c>
      <c r="AU236" s="12" t="s">
        <v>92</v>
      </c>
      <c r="AW236" s="14" t="s">
        <v>93</v>
      </c>
      <c r="AX236" s="3" t="s">
        <v>94</v>
      </c>
      <c r="AY236" s="3" t="s">
        <v>95</v>
      </c>
      <c r="AZ236" s="3" t="s">
        <v>96</v>
      </c>
      <c r="BA236" s="3" t="s">
        <v>97</v>
      </c>
      <c r="BB236" s="3"/>
      <c r="BC236" s="3" t="s">
        <v>98</v>
      </c>
      <c r="BJ236" s="3" t="s">
        <v>99</v>
      </c>
      <c r="BK236" s="3" t="s">
        <v>100</v>
      </c>
      <c r="BL236" s="3" t="s">
        <v>101</v>
      </c>
      <c r="BM236" s="1" t="s">
        <v>102</v>
      </c>
      <c r="BN236" s="3" t="s">
        <v>103</v>
      </c>
      <c r="BO236" s="3" t="s">
        <v>104</v>
      </c>
      <c r="BQ236" t="s">
        <v>105</v>
      </c>
    </row>
    <row r="237" spans="1:69">
      <c r="A237" s="1">
        <v>1.2323999999999999</v>
      </c>
      <c r="B237" s="1">
        <v>46.088000000000001</v>
      </c>
      <c r="C237">
        <f>A237+1</f>
        <v>2.2324000000000002</v>
      </c>
      <c r="D237">
        <f>C237-1</f>
        <v>1.2324000000000002</v>
      </c>
      <c r="E237">
        <f>D237*100000</f>
        <v>123240.00000000001</v>
      </c>
      <c r="F237">
        <f>E237/(0.000134)</f>
        <v>919701492.53731346</v>
      </c>
      <c r="G237">
        <f>1.25*C237/1</f>
        <v>2.7905000000000002</v>
      </c>
      <c r="H237">
        <f t="shared" ref="H237:H250" si="125">(((((C237+1)*100000)/2)*28.02)/(8.314*298))/1000</f>
        <v>1.8278348318434339</v>
      </c>
      <c r="I237">
        <f t="shared" ref="I237:I250" si="126">B237/60000</f>
        <v>7.6813333333333332E-4</v>
      </c>
      <c r="J237">
        <f>I237/51200000</f>
        <v>1.5002604166666667E-11</v>
      </c>
      <c r="K237" s="1">
        <f t="shared" ref="K237:K250" si="127">1-(((J237/J254)^0.25)*1)</f>
        <v>9.0698660521658203E-2</v>
      </c>
      <c r="L237">
        <f>K237*10^-6</f>
        <v>9.0698660521658205E-8</v>
      </c>
      <c r="M237">
        <f>1-K237</f>
        <v>0.9093013394783418</v>
      </c>
      <c r="N237">
        <f>M237*10^-6</f>
        <v>9.0930133947834175E-7</v>
      </c>
      <c r="O237">
        <f>F237*(N237/2)</f>
        <v>418.14289954220465</v>
      </c>
      <c r="P237">
        <f t="shared" ref="P237:P250" si="128">(((O237*N237)+(0.5*(N237^2)*(18620+F237))))</f>
        <v>7.6044349507146957E-4</v>
      </c>
      <c r="Q237">
        <f>(((0.25*(((1*10^-6)^2)-(N237^2)))-(0.5*(N237^2)*(LN(1/M237)))))</f>
        <v>3.9858450931009104E-15</v>
      </c>
      <c r="R237">
        <f>(0.0625*(18620+F237)*((((1*10^-6)^2)-(N237^2))^2))</f>
        <v>1.7237981175581851E-18</v>
      </c>
      <c r="S237">
        <f t="shared" ref="S237:S250" si="129">((2*PI()*1900)/(0.8))*((P237*Q237)-R237)</f>
        <v>1.9506954024407085E-14</v>
      </c>
      <c r="T237">
        <f t="shared" ref="T237:T250" si="130">S237/1900</f>
        <v>1.0266817907582676E-17</v>
      </c>
      <c r="U237">
        <f>(PI()*((0.000001)^2))-(PI()*(N237^2))</f>
        <v>5.4403297396457642E-13</v>
      </c>
      <c r="V237">
        <f t="shared" ref="V237:V250" si="131">T237/U237</f>
        <v>1.887168314957905E-5</v>
      </c>
      <c r="W237">
        <f t="shared" ref="W237:W250" si="132">(T237*1900)/U237</f>
        <v>3.58561979842002E-2</v>
      </c>
      <c r="X237">
        <f t="shared" ref="X237:X250" si="133">(J237)/(PI()*(N237^2))</f>
        <v>5.7756533119698279</v>
      </c>
      <c r="Y237">
        <f t="shared" ref="Y237:Y250" si="134">(2*1900*V237*L237)/(0.8)</f>
        <v>8.1302728214158466E-9</v>
      </c>
      <c r="Z237">
        <f t="shared" ref="Z237:Z250" si="135">(1.25*X237*2*N237)/(0.00001781)</f>
        <v>0.73719950771149423</v>
      </c>
      <c r="AA237">
        <f t="shared" ref="AA237:AA250" si="136">J237*1.25</f>
        <v>1.8753255208333333E-11</v>
      </c>
      <c r="AC237">
        <f t="shared" ref="AC237:AC250" si="137">AA237/(AA237+S237)</f>
        <v>0.99896089057882376</v>
      </c>
      <c r="AD237">
        <f>(AA237+S237)/(PI()*(0.000001)^2)</f>
        <v>5.9755557872554643</v>
      </c>
      <c r="AE237">
        <f t="shared" ref="AE237:AE250" si="138">(AD237*AC237)/H237</f>
        <v>3.2658019351342991</v>
      </c>
      <c r="AF237">
        <f t="shared" ref="AF237:AF250" si="139">(AD237*(1-AC237))/1900</f>
        <v>3.2680296396323028E-6</v>
      </c>
      <c r="AG237">
        <f>(AD237*AC237*0.000002)/(0.00001781)</f>
        <v>0.67033649982483567</v>
      </c>
      <c r="AH237">
        <f>(AD237*(1-AC237)*0.000002)/(0.8)</f>
        <v>1.5523140788253438E-8</v>
      </c>
      <c r="AI237">
        <f>2*((((8/Z237)^12)+((AP237+AQ237)^-1.5))^(1/12))</f>
        <v>21.703758389189893</v>
      </c>
      <c r="AJ237">
        <f>2*((((8/Y237)^12)+((AN237+AO237)^-1.5))^(1/12))</f>
        <v>1967953640.8488772</v>
      </c>
      <c r="AK237">
        <f>((((0.000134)/(0.000002))*4*AI237*((AD237*AC237)^2))/(2*1.25))*(2/(1+C237))</f>
        <v>51296.556402373215</v>
      </c>
      <c r="AL237">
        <f>((0.000134/0.000002)*4*AJ237*((AD237*(1-AC237))^2))/(2*1900)</f>
        <v>5351.1267287439523</v>
      </c>
      <c r="AM237">
        <f>(AL237/AK237)^0.5</f>
        <v>0.32298214351811899</v>
      </c>
      <c r="AN237">
        <f>(2.457*(LN((((7/Y237)^0.9)+(0.27*0.000046875))^-1)))^16</f>
        <v>3.3676044751029674E+26</v>
      </c>
      <c r="AO237">
        <f>(37530/Y237)^16</f>
        <v>4.2498649014965639E+202</v>
      </c>
      <c r="AP237">
        <f>(2.457*(LN((((7/Z237)^0.9)+(0.27*0.000046875))^-1)))^16</f>
        <v>141833916008.45129</v>
      </c>
      <c r="AQ237">
        <f>(37530/Z237)^16</f>
        <v>2.0356187668321506E+75</v>
      </c>
      <c r="AR237">
        <f>(1+((AM237^2)^0.5))^2</f>
        <v>1.7502817520677969</v>
      </c>
      <c r="AS237">
        <f>(1+((1/(AM237^2))^0.5))^2</f>
        <v>16.778415306950667</v>
      </c>
      <c r="AT237">
        <f t="shared" ref="AT237:AU250" si="140">AK237*AR237</f>
        <v>89783.426614990356</v>
      </c>
      <c r="AU237">
        <f t="shared" si="140"/>
        <v>89783.426614990371</v>
      </c>
      <c r="AW237" s="2">
        <f t="shared" ref="AW237:AW250" si="141">(E237*10^-6)/0.134</f>
        <v>0.91970149253731337</v>
      </c>
      <c r="AX237">
        <f t="shared" ref="AX237:AX250" si="142">(AU237*10^-6)/0.134</f>
        <v>0.6700255717536594</v>
      </c>
      <c r="AY237">
        <f>LOG(AW237)</f>
        <v>-3.6353108719904631E-2</v>
      </c>
      <c r="AZ237">
        <f>LOG(AX237)</f>
        <v>-0.17390862198637011</v>
      </c>
      <c r="BA237">
        <f>AX237/AW237</f>
        <v>0.72852504556142783</v>
      </c>
      <c r="BC237">
        <f>(AK237/0.000134)*(AR237)*(0.000002/4)</f>
        <v>335.0127858768297</v>
      </c>
      <c r="BJ237">
        <f>((AD237*(1-AC237))*0.000002*0.8)/(2*1900*BC237)</f>
        <v>7.8039520338398583E-15</v>
      </c>
      <c r="BK237">
        <f>(BJ237^0.5)*10^6</f>
        <v>8.8339979815708916E-2</v>
      </c>
      <c r="BL237" s="4">
        <f>BK237/BM237</f>
        <v>0.97399431598677189</v>
      </c>
      <c r="BM237" s="1">
        <f t="shared" ref="BM237:BM250" si="143">1-(((J237/J254)^0.25)*1)</f>
        <v>9.0698660521658203E-2</v>
      </c>
      <c r="BN237">
        <f>LOG(BM237)</f>
        <v>-1.0423991267474908</v>
      </c>
      <c r="BO237">
        <f>LOG(BK237)</f>
        <v>-1.0538427043070508</v>
      </c>
      <c r="BQ237">
        <f>((BM237-BK237)/(BM237))*100</f>
        <v>2.6005684013228074</v>
      </c>
    </row>
    <row r="238" spans="1:69">
      <c r="A238">
        <v>1.2519</v>
      </c>
      <c r="B238">
        <v>47.828000000000003</v>
      </c>
      <c r="C238">
        <f>A238+1</f>
        <v>2.2519</v>
      </c>
      <c r="D238">
        <f>C238-1</f>
        <v>1.2519</v>
      </c>
      <c r="E238">
        <f>D238*100000</f>
        <v>125190</v>
      </c>
      <c r="F238">
        <f>E238/(0.000134)</f>
        <v>934253731.34328353</v>
      </c>
      <c r="G238">
        <f>1.25*C238/1</f>
        <v>2.8148749999999998</v>
      </c>
      <c r="H238">
        <f t="shared" si="125"/>
        <v>1.8388615547802447</v>
      </c>
      <c r="I238">
        <f t="shared" si="126"/>
        <v>7.9713333333333337E-4</v>
      </c>
      <c r="J238">
        <f>I238/51200000</f>
        <v>1.5569010416666667E-11</v>
      </c>
      <c r="K238" s="1">
        <f t="shared" si="127"/>
        <v>8.5851114474405188E-2</v>
      </c>
      <c r="L238">
        <f>K238*10^-6</f>
        <v>8.585111447440519E-8</v>
      </c>
      <c r="M238">
        <f>1-K238</f>
        <v>0.91414888552559481</v>
      </c>
      <c r="N238">
        <f>M238*10^-6</f>
        <v>9.1414888552559479E-7</v>
      </c>
      <c r="O238">
        <f>F238*(N238/2)</f>
        <v>427.02350365279557</v>
      </c>
      <c r="P238">
        <f t="shared" si="128"/>
        <v>7.8073389998567716E-4</v>
      </c>
      <c r="Q238">
        <f>(((0.25*(((1*10^-6)^2)-(N238^2)))-(0.5*(N238^2)*(LN(1/M238)))))</f>
        <v>3.5774025249179005E-15</v>
      </c>
      <c r="R238">
        <f>(0.0625*(18620+F238)*((((1*10^-6)^2)-(N238^2))^2))</f>
        <v>1.5768733678063693E-18</v>
      </c>
      <c r="S238">
        <f t="shared" si="129"/>
        <v>1.814772026527234E-14</v>
      </c>
      <c r="T238">
        <f t="shared" si="130"/>
        <v>9.55143171856439E-18</v>
      </c>
      <c r="U238">
        <f>(PI()*((0.000001)^2))-(PI()*(N238^2))</f>
        <v>5.1626362304508679E-13</v>
      </c>
      <c r="V238">
        <f t="shared" si="131"/>
        <v>1.8501074436015871E-5</v>
      </c>
      <c r="W238">
        <f t="shared" si="132"/>
        <v>3.5152041428430154E-2</v>
      </c>
      <c r="X238">
        <f t="shared" si="133"/>
        <v>5.9303082529950126</v>
      </c>
      <c r="Y238">
        <f t="shared" si="134"/>
        <v>7.5446048317029779E-9</v>
      </c>
      <c r="Z238">
        <f t="shared" si="135"/>
        <v>0.76097482878981304</v>
      </c>
      <c r="AA238">
        <f t="shared" si="136"/>
        <v>1.9461263020833334E-11</v>
      </c>
      <c r="AC238">
        <f t="shared" si="137"/>
        <v>0.99906836400204946</v>
      </c>
      <c r="AD238">
        <f>(AA238+S238)/(PI()*(0.000001)^2)</f>
        <v>6.200489015926407</v>
      </c>
      <c r="AE238">
        <f t="shared" si="138"/>
        <v>3.3687758608312302</v>
      </c>
      <c r="AF238">
        <f t="shared" si="139"/>
        <v>3.0403151432284053E-6</v>
      </c>
      <c r="AG238">
        <f>(AD238*AC238*0.000002)/(0.00001781)</f>
        <v>0.69564429165123776</v>
      </c>
      <c r="AH238">
        <f>(AD238*(1-AC238)*0.000002)/(0.8)</f>
        <v>1.4441496930334925E-8</v>
      </c>
      <c r="AI238">
        <f>2*((((8/Z238)^12)+((AP238+AQ238)^-1.5))^(1/12))</f>
        <v>21.025662603643514</v>
      </c>
      <c r="AJ238">
        <f>2*((((8/Y238)^12)+((AN238+AO238)^-1.5))^(1/12))</f>
        <v>2120720747.7278104</v>
      </c>
      <c r="AK238">
        <f>((((0.000134)/(0.000002))*4*AI238*((AD238*AC238)^2))/(2*1.25))*(2/(1+C238))</f>
        <v>53196.074933573793</v>
      </c>
      <c r="AL238">
        <f>((0.000134/0.000002)*4*AJ238*((AD238*(1-AC238))^2))/(2*1900)</f>
        <v>4990.9025470057677</v>
      </c>
      <c r="AM238">
        <f>(AL238/AK238)^0.5</f>
        <v>0.306301942048747</v>
      </c>
      <c r="AN238">
        <f>(2.457*(LN((((7/Y238)^0.9)+(0.27*0.000046875))^-1)))^16</f>
        <v>3.5688314682324074E+26</v>
      </c>
      <c r="AO238">
        <f>(37530/Y238)^16</f>
        <v>1.4056366496261277E+203</v>
      </c>
      <c r="AP238">
        <f>(2.457*(LN((((7/Z238)^0.9)+(0.27*0.000046875))^-1)))^16</f>
        <v>113002868998.10477</v>
      </c>
      <c r="AQ238">
        <f>(37530/Z238)^16</f>
        <v>1.2249894969710516E+75</v>
      </c>
      <c r="AR238">
        <f>(1+((AM238^2)^0.5))^2</f>
        <v>1.7064247638003278</v>
      </c>
      <c r="AS238">
        <f>(1+((1/(AM238^2))^0.5))^2</f>
        <v>18.188113021378793</v>
      </c>
      <c r="AT238">
        <f t="shared" si="140"/>
        <v>90775.099603628201</v>
      </c>
      <c r="AU238">
        <f t="shared" si="140"/>
        <v>90775.099603628187</v>
      </c>
      <c r="AW238" s="2">
        <f t="shared" si="141"/>
        <v>0.93425373134328349</v>
      </c>
      <c r="AX238">
        <f t="shared" si="142"/>
        <v>0.6774261164449864</v>
      </c>
      <c r="AY238">
        <f>LOG(AW238)</f>
        <v>-2.953515893343639E-2</v>
      </c>
      <c r="AZ238">
        <f>LOG(AX238)</f>
        <v>-0.16913806424688554</v>
      </c>
      <c r="BA238">
        <f>AX238/AW238</f>
        <v>0.72509864688575909</v>
      </c>
      <c r="BC238">
        <f>(AK238/0.000134)*(AR238)*(0.000002/4)</f>
        <v>338.71305822249326</v>
      </c>
      <c r="BJ238">
        <f>((AD238*(1-AC238))*0.000002*0.8)/(2*1900*BC238)</f>
        <v>7.180863139280065E-15</v>
      </c>
      <c r="BK238">
        <f>(BJ238^0.5)*10^6</f>
        <v>8.473997367995853E-2</v>
      </c>
      <c r="BL238" s="4">
        <f>BK238/BM238</f>
        <v>0.98705735154110408</v>
      </c>
      <c r="BM238" s="1">
        <f t="shared" si="143"/>
        <v>8.5851114474405188E-2</v>
      </c>
      <c r="BN238">
        <f>LOG(BM238)</f>
        <v>-1.0662540626819488</v>
      </c>
      <c r="BO238">
        <f>LOG(BK238)</f>
        <v>-1.0719116752258782</v>
      </c>
      <c r="BQ238">
        <f>((BM238-BK238)/(BM238))*100</f>
        <v>1.2942648458895925</v>
      </c>
    </row>
    <row r="239" spans="1:69">
      <c r="A239">
        <v>1.2727999999999999</v>
      </c>
      <c r="B239">
        <v>49.258000000000003</v>
      </c>
      <c r="C239">
        <f t="shared" ref="C239:C250" si="144">A239+1</f>
        <v>2.2728000000000002</v>
      </c>
      <c r="D239">
        <f t="shared" ref="D239:D250" si="145">C239-1</f>
        <v>1.2728000000000002</v>
      </c>
      <c r="E239">
        <f t="shared" ref="E239:E250" si="146">D239*100000</f>
        <v>127280.00000000001</v>
      </c>
      <c r="F239">
        <f t="shared" ref="F239:F250" si="147">E239/(0.000134)</f>
        <v>949850746.26865685</v>
      </c>
      <c r="G239">
        <f t="shared" ref="G239:G250" si="148">1.25*C239/1</f>
        <v>2.8410000000000002</v>
      </c>
      <c r="H239">
        <f t="shared" si="125"/>
        <v>1.8506799398766209</v>
      </c>
      <c r="I239">
        <f t="shared" si="126"/>
        <v>8.2096666666666676E-4</v>
      </c>
      <c r="J239">
        <f t="shared" ref="J239:J250" si="149">I239/51200000</f>
        <v>1.6034505208333336E-11</v>
      </c>
      <c r="K239" s="1">
        <f t="shared" si="127"/>
        <v>8.4038413677360868E-2</v>
      </c>
      <c r="L239">
        <f t="shared" ref="L239:L250" si="150">K239*10^-6</f>
        <v>8.403841367736087E-8</v>
      </c>
      <c r="M239">
        <f t="shared" ref="M239:M250" si="151">1-K239</f>
        <v>0.91596158632263913</v>
      </c>
      <c r="N239">
        <f t="shared" ref="N239:N250" si="152">M239*10^-6</f>
        <v>9.1596158632263907E-7</v>
      </c>
      <c r="O239">
        <f t="shared" ref="O239:O250" si="153">F239*(N239/2)</f>
        <v>435.01339816099073</v>
      </c>
      <c r="P239">
        <f t="shared" si="128"/>
        <v>7.9691893545847888E-4</v>
      </c>
      <c r="Q239">
        <f t="shared" ref="Q239:Q250" si="154">(((0.25*(((1*10^-6)^2)-(N239^2)))-(0.5*(N239^2)*(LN(1/M239)))))</f>
        <v>3.4301566941524182E-15</v>
      </c>
      <c r="R239">
        <f t="shared" ref="R239:R250" si="155">(0.0625*(18620+F239)*((((1*10^-6)^2)-(N239^2))^2))</f>
        <v>1.5391224966339584E-18</v>
      </c>
      <c r="S239">
        <f t="shared" si="129"/>
        <v>1.7824023970846694E-14</v>
      </c>
      <c r="T239">
        <f t="shared" si="130"/>
        <v>9.38106524781405E-18</v>
      </c>
      <c r="U239">
        <f t="shared" ref="U239:U250" si="156">(PI()*((0.000001)^2))-(PI()*(N239^2))</f>
        <v>5.0584156939550914E-13</v>
      </c>
      <c r="V239">
        <f t="shared" si="131"/>
        <v>1.8545461297347728E-5</v>
      </c>
      <c r="W239">
        <f t="shared" si="132"/>
        <v>3.5236376464960681E-2</v>
      </c>
      <c r="X239">
        <f t="shared" si="133"/>
        <v>6.0834671773396547</v>
      </c>
      <c r="Y239">
        <f t="shared" si="134"/>
        <v>7.4030229546339709E-9</v>
      </c>
      <c r="Z239">
        <f t="shared" si="135"/>
        <v>0.78217605925010358</v>
      </c>
      <c r="AA239">
        <f t="shared" si="136"/>
        <v>2.004313151041667E-11</v>
      </c>
      <c r="AC239">
        <f t="shared" si="137"/>
        <v>0.9991115067305596</v>
      </c>
      <c r="AD239">
        <f t="shared" ref="AD239:AD250" si="157">(AA239+S239)/(PI()*(0.000001)^2)</f>
        <v>6.3856004728889761</v>
      </c>
      <c r="AE239">
        <f t="shared" si="138"/>
        <v>3.4473421213355824</v>
      </c>
      <c r="AF239">
        <f t="shared" si="139"/>
        <v>2.9860858113143792E-6</v>
      </c>
      <c r="AG239">
        <f t="shared" ref="AG239:AG250" si="158">(AD239*AC239*0.000002)/(0.00001781)</f>
        <v>0.71644322401431537</v>
      </c>
      <c r="AH239">
        <f t="shared" ref="AH239:AH250" si="159">(AD239*(1-AC239)*0.000002)/(0.8)</f>
        <v>1.4183907603743302E-8</v>
      </c>
      <c r="AI239">
        <f t="shared" ref="AI239:AI250" si="160">2*((((8/Z239)^12)+((AP239+AQ239)^-1.5))^(1/12))</f>
        <v>20.455752654127121</v>
      </c>
      <c r="AJ239">
        <f t="shared" ref="AJ239:AJ250" si="161">2*((((8/Y239)^12)+((AN239+AO239)^-1.5))^(1/12))</f>
        <v>2161279263.6263061</v>
      </c>
      <c r="AK239">
        <f t="shared" ref="AK239:AK250" si="162">((((0.000134)/(0.000002))*4*AI239*((AD239*AC239)^2))/(2*1.25))*(2/(1+C239))</f>
        <v>54544.653212234494</v>
      </c>
      <c r="AL239">
        <f t="shared" ref="AL239:AL250" si="163">((0.000134/0.000002)*4*AJ239*((AD239*(1-AC239))^2))/(2*1900)</f>
        <v>4906.52316713051</v>
      </c>
      <c r="AM239">
        <f t="shared" ref="AM239:AM250" si="164">(AL239/AK239)^0.5</f>
        <v>0.29992373406978967</v>
      </c>
      <c r="AN239">
        <f t="shared" ref="AN239:AN250" si="165">(2.457*(LN((((7/Y239)^0.9)+(0.27*0.000046875))^-1)))^16</f>
        <v>3.6215823952700486E+26</v>
      </c>
      <c r="AO239">
        <f t="shared" ref="AO239:AO250" si="166">(37530/Y239)^16</f>
        <v>1.9033186122296285E+203</v>
      </c>
      <c r="AP239">
        <f t="shared" ref="AP239:AP250" si="167">(2.457*(LN((((7/Z239)^0.9)+(0.27*0.000046875))^-1)))^16</f>
        <v>92577145054.354172</v>
      </c>
      <c r="AQ239">
        <f t="shared" ref="AQ239:AQ250" si="168">(37530/Z239)^16</f>
        <v>7.8919573002959222E+74</v>
      </c>
      <c r="AR239">
        <f t="shared" ref="AR239:AR250" si="169">(1+((AM239^2)^0.5))^2</f>
        <v>1.6898017143979449</v>
      </c>
      <c r="AS239">
        <f t="shared" ref="AS239:AS250" si="170">(1+((1/(AM239^2))^0.5))^2</f>
        <v>18.785124490338227</v>
      </c>
      <c r="AT239">
        <f t="shared" si="140"/>
        <v>92169.648509275226</v>
      </c>
      <c r="AU239">
        <f t="shared" si="140"/>
        <v>92169.648509275226</v>
      </c>
      <c r="AW239" s="2">
        <f t="shared" si="141"/>
        <v>0.94985074626865673</v>
      </c>
      <c r="AX239">
        <f t="shared" si="142"/>
        <v>0.68783319783041208</v>
      </c>
      <c r="AY239">
        <f t="shared" ref="AY239:AZ250" si="171">LOG(AW239)</f>
        <v>-2.2344631726282514E-2</v>
      </c>
      <c r="AZ239">
        <f t="shared" si="171"/>
        <v>-0.16251686706209409</v>
      </c>
      <c r="BA239">
        <f t="shared" ref="BA239:BA250" si="172">AX239/AW239</f>
        <v>0.72414871550341942</v>
      </c>
      <c r="BC239">
        <f t="shared" ref="BC239:BC250" si="173">(AK239/0.000134)*(AR239)*(0.000002/4)</f>
        <v>343.91659891520601</v>
      </c>
      <c r="BJ239">
        <f t="shared" ref="BJ239:BJ250" si="174">((AD239*(1-AC239))*0.000002*0.8)/(2*1900*BC239)</f>
        <v>6.9460696476603866E-15</v>
      </c>
      <c r="BK239">
        <f t="shared" ref="BK239:BK250" si="175">(BJ239^0.5)*10^6</f>
        <v>8.3343083982178059E-2</v>
      </c>
      <c r="BL239" s="4">
        <f t="shared" ref="BL239:BL250" si="176">BK239/BM239</f>
        <v>0.99172604925823193</v>
      </c>
      <c r="BM239" s="1">
        <f t="shared" si="143"/>
        <v>8.4038413677360868E-2</v>
      </c>
      <c r="BN239">
        <f t="shared" ref="BN239:BN250" si="177">LOG(BM239)</f>
        <v>-1.0755221540013402</v>
      </c>
      <c r="BO239">
        <f t="shared" ref="BO239:BO250" si="178">LOG(BK239)</f>
        <v>-1.0791304331844582</v>
      </c>
      <c r="BQ239">
        <f t="shared" ref="BQ239:BQ250" si="179">((BM239-BK239)/(BM239))*100</f>
        <v>0.82739507417680314</v>
      </c>
    </row>
    <row r="240" spans="1:69">
      <c r="A240">
        <v>1.2926</v>
      </c>
      <c r="B240">
        <v>50.552</v>
      </c>
      <c r="C240">
        <f t="shared" si="144"/>
        <v>2.2926000000000002</v>
      </c>
      <c r="D240">
        <f t="shared" si="145"/>
        <v>1.2926000000000002</v>
      </c>
      <c r="E240">
        <f t="shared" si="146"/>
        <v>129260.00000000001</v>
      </c>
      <c r="F240">
        <f t="shared" si="147"/>
        <v>964626865.67164183</v>
      </c>
      <c r="G240">
        <f t="shared" si="148"/>
        <v>2.8657500000000002</v>
      </c>
      <c r="H240">
        <f t="shared" si="125"/>
        <v>1.8618763047047671</v>
      </c>
      <c r="I240">
        <f t="shared" si="126"/>
        <v>8.4253333333333329E-4</v>
      </c>
      <c r="J240">
        <f t="shared" si="149"/>
        <v>1.6455729166666667E-11</v>
      </c>
      <c r="K240" s="1">
        <f t="shared" si="127"/>
        <v>8.250041774157002E-2</v>
      </c>
      <c r="L240">
        <f t="shared" si="150"/>
        <v>8.2500417741570021E-8</v>
      </c>
      <c r="M240">
        <f t="shared" si="151"/>
        <v>0.91749958225842998</v>
      </c>
      <c r="N240">
        <f t="shared" si="152"/>
        <v>9.1749958225842993E-7</v>
      </c>
      <c r="O240">
        <f t="shared" si="153"/>
        <v>442.52237314449496</v>
      </c>
      <c r="P240">
        <f t="shared" si="128"/>
        <v>8.1203602220921724E-4</v>
      </c>
      <c r="Q240">
        <f t="shared" si="154"/>
        <v>3.3075753988250974E-15</v>
      </c>
      <c r="R240">
        <f t="shared" si="155"/>
        <v>1.5087962806719868E-18</v>
      </c>
      <c r="S240">
        <f t="shared" si="129"/>
        <v>1.7564964731161456E-14</v>
      </c>
      <c r="T240">
        <f t="shared" si="130"/>
        <v>9.2447182795586618E-18</v>
      </c>
      <c r="U240">
        <f t="shared" si="156"/>
        <v>4.9698273104928221E-13</v>
      </c>
      <c r="V240">
        <f t="shared" si="131"/>
        <v>1.8601689157368186E-5</v>
      </c>
      <c r="W240">
        <f t="shared" si="132"/>
        <v>3.5343209398999549E-2</v>
      </c>
      <c r="X240">
        <f t="shared" si="133"/>
        <v>6.2223653577079077</v>
      </c>
      <c r="Y240">
        <f t="shared" si="134"/>
        <v>7.2895738493631182E-9</v>
      </c>
      <c r="Z240">
        <f t="shared" si="135"/>
        <v>0.80137810448572866</v>
      </c>
      <c r="AA240">
        <f t="shared" si="136"/>
        <v>2.0569661458333334E-11</v>
      </c>
      <c r="AC240">
        <f t="shared" si="137"/>
        <v>0.99914680276156664</v>
      </c>
      <c r="AD240">
        <f t="shared" si="157"/>
        <v>6.553117699565588</v>
      </c>
      <c r="AE240">
        <f t="shared" si="138"/>
        <v>3.5166281353365281</v>
      </c>
      <c r="AF240">
        <f t="shared" si="139"/>
        <v>2.9426852233674256E-6</v>
      </c>
      <c r="AG240">
        <f t="shared" si="158"/>
        <v>0.73526407609670852</v>
      </c>
      <c r="AH240">
        <f t="shared" si="159"/>
        <v>1.3977754810995271E-8</v>
      </c>
      <c r="AI240">
        <f t="shared" si="160"/>
        <v>19.965606634920146</v>
      </c>
      <c r="AJ240">
        <f t="shared" si="161"/>
        <v>2194915687.8900261</v>
      </c>
      <c r="AK240">
        <f t="shared" si="162"/>
        <v>55734.339678784156</v>
      </c>
      <c r="AL240">
        <f t="shared" si="163"/>
        <v>4839.0917759637514</v>
      </c>
      <c r="AM240">
        <f t="shared" si="164"/>
        <v>0.29465953512629806</v>
      </c>
      <c r="AN240">
        <f t="shared" si="165"/>
        <v>3.6651247168182302E+26</v>
      </c>
      <c r="AO240">
        <f t="shared" si="166"/>
        <v>2.4368162908106775E+203</v>
      </c>
      <c r="AP240">
        <f t="shared" si="167"/>
        <v>77477915320.676956</v>
      </c>
      <c r="AQ240">
        <f t="shared" si="168"/>
        <v>5.3537424313702627E+74</v>
      </c>
      <c r="AR240">
        <f t="shared" si="169"/>
        <v>1.6761433118934426</v>
      </c>
      <c r="AS240">
        <f t="shared" si="170"/>
        <v>19.305015283944705</v>
      </c>
      <c r="AT240">
        <f t="shared" si="140"/>
        <v>93418.740695391389</v>
      </c>
      <c r="AU240">
        <f t="shared" si="140"/>
        <v>93418.740695391345</v>
      </c>
      <c r="AW240" s="2">
        <f t="shared" si="141"/>
        <v>0.9646268656716418</v>
      </c>
      <c r="AX240">
        <f t="shared" si="142"/>
        <v>0.69715478130889053</v>
      </c>
      <c r="AY240">
        <f t="shared" si="171"/>
        <v>-1.5640646778153661E-2</v>
      </c>
      <c r="AZ240">
        <f t="shared" si="171"/>
        <v>-0.15667078975610504</v>
      </c>
      <c r="BA240">
        <f t="shared" si="172"/>
        <v>0.72271964022428692</v>
      </c>
      <c r="BC240">
        <f t="shared" si="173"/>
        <v>348.57739065444548</v>
      </c>
      <c r="BJ240">
        <f t="shared" si="174"/>
        <v>6.7535882756884646E-15</v>
      </c>
      <c r="BK240">
        <f t="shared" si="175"/>
        <v>8.2180218274767722E-2</v>
      </c>
      <c r="BL240" s="4">
        <f t="shared" si="176"/>
        <v>0.99611881399430835</v>
      </c>
      <c r="BM240" s="1">
        <f t="shared" si="143"/>
        <v>8.250041774157002E-2</v>
      </c>
      <c r="BN240">
        <f t="shared" si="177"/>
        <v>-1.0835438523906882</v>
      </c>
      <c r="BO240">
        <f t="shared" si="178"/>
        <v>-1.0852327095647625</v>
      </c>
      <c r="BQ240">
        <f t="shared" si="179"/>
        <v>0.38811860056916708</v>
      </c>
    </row>
    <row r="241" spans="1:69">
      <c r="A241">
        <v>1.3110999999999999</v>
      </c>
      <c r="B241">
        <v>51.655999999999999</v>
      </c>
      <c r="C241">
        <f t="shared" si="144"/>
        <v>2.3110999999999997</v>
      </c>
      <c r="D241">
        <f t="shared" si="145"/>
        <v>1.3110999999999997</v>
      </c>
      <c r="E241">
        <f t="shared" si="146"/>
        <v>131109.99999999997</v>
      </c>
      <c r="F241">
        <f t="shared" si="147"/>
        <v>978432835.82089531</v>
      </c>
      <c r="G241">
        <f t="shared" si="148"/>
        <v>2.8888749999999996</v>
      </c>
      <c r="H241">
        <f t="shared" si="125"/>
        <v>1.8723375546704595</v>
      </c>
      <c r="I241">
        <f t="shared" si="126"/>
        <v>8.609333333333333E-4</v>
      </c>
      <c r="J241">
        <f t="shared" si="149"/>
        <v>1.6815104166666668E-11</v>
      </c>
      <c r="K241" s="1">
        <f t="shared" si="127"/>
        <v>8.2560441288441533E-2</v>
      </c>
      <c r="L241">
        <f t="shared" si="150"/>
        <v>8.2560441288441524E-8</v>
      </c>
      <c r="M241">
        <f t="shared" si="151"/>
        <v>0.91743955871155847</v>
      </c>
      <c r="N241">
        <f t="shared" si="152"/>
        <v>9.1743955871155842E-7</v>
      </c>
      <c r="O241">
        <f t="shared" si="153"/>
        <v>448.82649456221043</v>
      </c>
      <c r="P241">
        <f t="shared" si="128"/>
        <v>8.2355019840207161E-4</v>
      </c>
      <c r="Q241">
        <f t="shared" si="154"/>
        <v>3.3123188817744254E-15</v>
      </c>
      <c r="R241">
        <f t="shared" si="155"/>
        <v>1.5325218614069995E-18</v>
      </c>
      <c r="S241">
        <f t="shared" si="129"/>
        <v>1.7837524211408239E-14</v>
      </c>
      <c r="T241">
        <f t="shared" si="130"/>
        <v>9.3881706375832834E-18</v>
      </c>
      <c r="U241">
        <f t="shared" si="156"/>
        <v>4.9732874466781883E-13</v>
      </c>
      <c r="V241">
        <f t="shared" si="131"/>
        <v>1.8877192879438189E-5</v>
      </c>
      <c r="W241">
        <f t="shared" si="132"/>
        <v>3.5866666470932562E-2</v>
      </c>
      <c r="X241">
        <f t="shared" si="133"/>
        <v>6.3590869693191578</v>
      </c>
      <c r="Y241">
        <f t="shared" si="134"/>
        <v>7.402919528463855E-9</v>
      </c>
      <c r="Z241">
        <f t="shared" si="135"/>
        <v>0.81893289485409737</v>
      </c>
      <c r="AA241">
        <f t="shared" si="136"/>
        <v>2.1018880208333336E-11</v>
      </c>
      <c r="AC241">
        <f t="shared" si="137"/>
        <v>0.99915207664816397</v>
      </c>
      <c r="AD241">
        <f t="shared" si="157"/>
        <v>6.6961952271268483</v>
      </c>
      <c r="AE241">
        <f t="shared" si="138"/>
        <v>3.5733499817573646</v>
      </c>
      <c r="AF241">
        <f t="shared" si="139"/>
        <v>2.9883475271230751E-6</v>
      </c>
      <c r="AG241">
        <f t="shared" si="158"/>
        <v>0.75132143366932225</v>
      </c>
      <c r="AH241">
        <f t="shared" si="159"/>
        <v>1.4194650753834605E-8</v>
      </c>
      <c r="AI241">
        <f t="shared" si="160"/>
        <v>19.537620360030338</v>
      </c>
      <c r="AJ241">
        <f t="shared" si="161"/>
        <v>2161309458.8534656</v>
      </c>
      <c r="AK241">
        <f t="shared" si="162"/>
        <v>56629.607941781906</v>
      </c>
      <c r="AL241">
        <f t="shared" si="163"/>
        <v>4914.0272149349785</v>
      </c>
      <c r="AM241">
        <f t="shared" si="164"/>
        <v>0.29457575619654369</v>
      </c>
      <c r="AN241">
        <f t="shared" si="165"/>
        <v>3.6216215659809403E+26</v>
      </c>
      <c r="AO241">
        <f t="shared" si="166"/>
        <v>1.9037441169660264E+203</v>
      </c>
      <c r="AP241">
        <f t="shared" si="167"/>
        <v>65971197938.640991</v>
      </c>
      <c r="AQ241">
        <f t="shared" si="168"/>
        <v>3.7851576441156182E+74</v>
      </c>
      <c r="AR241">
        <f t="shared" si="169"/>
        <v>1.6759263885318527</v>
      </c>
      <c r="AS241">
        <f t="shared" si="170"/>
        <v>19.31349790522091</v>
      </c>
      <c r="AT241">
        <f t="shared" si="140"/>
        <v>94907.05432184528</v>
      </c>
      <c r="AU241">
        <f t="shared" si="140"/>
        <v>94907.054321845251</v>
      </c>
      <c r="AW241" s="2">
        <f t="shared" si="141"/>
        <v>0.97843283582089524</v>
      </c>
      <c r="AX241">
        <f t="shared" si="142"/>
        <v>0.70826159941675559</v>
      </c>
      <c r="AY241">
        <f t="shared" si="171"/>
        <v>-9.4689809753135522E-3</v>
      </c>
      <c r="AZ241">
        <f t="shared" si="171"/>
        <v>-0.14980630417577204</v>
      </c>
      <c r="BA241">
        <f t="shared" si="172"/>
        <v>0.72387349799287071</v>
      </c>
      <c r="BC241">
        <f t="shared" si="173"/>
        <v>354.13079970837788</v>
      </c>
      <c r="BJ241">
        <f t="shared" si="174"/>
        <v>6.7508333747506642E-15</v>
      </c>
      <c r="BK241">
        <f t="shared" si="175"/>
        <v>8.2163455226461027E-2</v>
      </c>
      <c r="BL241" s="4">
        <f t="shared" si="176"/>
        <v>0.99519157049326379</v>
      </c>
      <c r="BM241" s="1">
        <f t="shared" si="143"/>
        <v>8.2560441288441533E-2</v>
      </c>
      <c r="BN241">
        <f t="shared" si="177"/>
        <v>-1.0832279943914895</v>
      </c>
      <c r="BO241">
        <f t="shared" si="178"/>
        <v>-1.0853213056056032</v>
      </c>
      <c r="BQ241">
        <f t="shared" si="179"/>
        <v>0.48084295067362254</v>
      </c>
    </row>
    <row r="242" spans="1:69">
      <c r="A242">
        <v>1.3326</v>
      </c>
      <c r="B242">
        <v>53.100999999999999</v>
      </c>
      <c r="C242">
        <f t="shared" si="144"/>
        <v>2.3326000000000002</v>
      </c>
      <c r="D242">
        <f t="shared" si="145"/>
        <v>1.3326000000000002</v>
      </c>
      <c r="E242">
        <f t="shared" si="146"/>
        <v>133260.00000000003</v>
      </c>
      <c r="F242">
        <f t="shared" si="147"/>
        <v>994477611.94029868</v>
      </c>
      <c r="G242">
        <f t="shared" si="148"/>
        <v>2.9157500000000001</v>
      </c>
      <c r="H242">
        <f t="shared" si="125"/>
        <v>1.8844952235495069</v>
      </c>
      <c r="I242">
        <f t="shared" si="126"/>
        <v>8.8501666666666661E-4</v>
      </c>
      <c r="J242">
        <f t="shared" si="149"/>
        <v>1.7285481770833332E-11</v>
      </c>
      <c r="K242" s="1">
        <f t="shared" si="127"/>
        <v>8.0270604820547153E-2</v>
      </c>
      <c r="L242">
        <f t="shared" si="150"/>
        <v>8.0270604820547151E-8</v>
      </c>
      <c r="M242">
        <f t="shared" si="151"/>
        <v>0.91972939517945285</v>
      </c>
      <c r="N242">
        <f t="shared" si="152"/>
        <v>9.1972939517945279E-7</v>
      </c>
      <c r="O242">
        <f t="shared" si="153"/>
        <v>457.32514627467873</v>
      </c>
      <c r="P242">
        <f t="shared" si="128"/>
        <v>8.4123863571624301E-4</v>
      </c>
      <c r="Q242">
        <f t="shared" si="154"/>
        <v>3.1336950420947402E-15</v>
      </c>
      <c r="R242">
        <f t="shared" si="155"/>
        <v>1.4759656820435369E-18</v>
      </c>
      <c r="S242">
        <f t="shared" si="129"/>
        <v>1.7313453410721854E-14</v>
      </c>
      <c r="T242">
        <f t="shared" si="130"/>
        <v>9.1123439003799229E-18</v>
      </c>
      <c r="U242">
        <f t="shared" si="156"/>
        <v>4.8411264095599771E-13</v>
      </c>
      <c r="V242">
        <f t="shared" si="131"/>
        <v>1.8822776208415858E-5</v>
      </c>
      <c r="W242">
        <f t="shared" si="132"/>
        <v>3.5763274795990133E-2</v>
      </c>
      <c r="X242">
        <f t="shared" si="133"/>
        <v>6.5044635100385593</v>
      </c>
      <c r="Y242">
        <f t="shared" si="134"/>
        <v>7.1768492455938945E-9</v>
      </c>
      <c r="Z242">
        <f t="shared" si="135"/>
        <v>0.83974540848604495</v>
      </c>
      <c r="AA242">
        <f t="shared" si="136"/>
        <v>2.1606852213541666E-11</v>
      </c>
      <c r="AC242">
        <f t="shared" si="137"/>
        <v>0.99919934698626622</v>
      </c>
      <c r="AD242">
        <f t="shared" si="157"/>
        <v>6.883185712267049</v>
      </c>
      <c r="AE242">
        <f t="shared" si="138"/>
        <v>3.6496110910422543</v>
      </c>
      <c r="AF242">
        <f t="shared" si="139"/>
        <v>2.9005491497978329E-6</v>
      </c>
      <c r="AG242">
        <f t="shared" si="158"/>
        <v>0.77233853665159258</v>
      </c>
      <c r="AH242">
        <f t="shared" si="159"/>
        <v>1.3777608461539707E-8</v>
      </c>
      <c r="AI242">
        <f t="shared" si="160"/>
        <v>19.053393848078287</v>
      </c>
      <c r="AJ242">
        <f t="shared" si="161"/>
        <v>2229390565.7587762</v>
      </c>
      <c r="AK242">
        <f t="shared" si="162"/>
        <v>57982.534265038114</v>
      </c>
      <c r="AL242">
        <f t="shared" si="163"/>
        <v>4775.3478932100152</v>
      </c>
      <c r="AM242">
        <f t="shared" si="164"/>
        <v>0.28698150676145073</v>
      </c>
      <c r="AN242">
        <f t="shared" si="165"/>
        <v>3.7095625862878831E+26</v>
      </c>
      <c r="AO242">
        <f t="shared" si="166"/>
        <v>3.1269133854715181E+203</v>
      </c>
      <c r="AP242">
        <f t="shared" si="167"/>
        <v>54651284915.109268</v>
      </c>
      <c r="AQ242">
        <f t="shared" si="168"/>
        <v>2.533347837726189E+74</v>
      </c>
      <c r="AR242">
        <f t="shared" si="169"/>
        <v>1.6563213987459739</v>
      </c>
      <c r="AS242">
        <f t="shared" si="170"/>
        <v>20.111144654666663</v>
      </c>
      <c r="AT242">
        <f t="shared" si="140"/>
        <v>96037.712256704297</v>
      </c>
      <c r="AU242">
        <f t="shared" si="140"/>
        <v>96037.712256704312</v>
      </c>
      <c r="AW242" s="2">
        <f t="shared" si="141"/>
        <v>0.9944776119402986</v>
      </c>
      <c r="AX242">
        <f t="shared" si="142"/>
        <v>0.7166993451992858</v>
      </c>
      <c r="AY242">
        <f t="shared" si="171"/>
        <v>-2.4049894326899999E-3</v>
      </c>
      <c r="AZ242">
        <f t="shared" si="171"/>
        <v>-0.14466299231637683</v>
      </c>
      <c r="BA242">
        <f t="shared" si="172"/>
        <v>0.72067921549380376</v>
      </c>
      <c r="BC242">
        <f t="shared" si="173"/>
        <v>358.34967259964287</v>
      </c>
      <c r="BJ242">
        <f t="shared" si="174"/>
        <v>6.4753493508300725E-15</v>
      </c>
      <c r="BK242">
        <f t="shared" si="175"/>
        <v>8.0469555428311343E-2</v>
      </c>
      <c r="BL242" s="4">
        <f t="shared" si="176"/>
        <v>1.0024784989250917</v>
      </c>
      <c r="BM242" s="1">
        <f t="shared" si="143"/>
        <v>8.0270604820547153E-2</v>
      </c>
      <c r="BN242">
        <f t="shared" si="177"/>
        <v>-1.0954434647018545</v>
      </c>
      <c r="BO242">
        <f t="shared" si="178"/>
        <v>-1.0943683980214303</v>
      </c>
      <c r="BQ242">
        <f t="shared" si="179"/>
        <v>-0.24784989250917341</v>
      </c>
    </row>
    <row r="243" spans="1:69">
      <c r="A243">
        <v>1.3514999999999999</v>
      </c>
      <c r="B243">
        <v>54.36</v>
      </c>
      <c r="C243">
        <f t="shared" si="144"/>
        <v>2.3514999999999997</v>
      </c>
      <c r="D243">
        <f t="shared" si="145"/>
        <v>1.3514999999999997</v>
      </c>
      <c r="E243">
        <f t="shared" si="146"/>
        <v>135149.99999999997</v>
      </c>
      <c r="F243">
        <f t="shared" si="147"/>
        <v>1008582089.5522386</v>
      </c>
      <c r="G243">
        <f t="shared" si="148"/>
        <v>2.9393749999999996</v>
      </c>
      <c r="H243">
        <f t="shared" si="125"/>
        <v>1.8951826627036463</v>
      </c>
      <c r="I243">
        <f t="shared" si="126"/>
        <v>9.0600000000000001E-4</v>
      </c>
      <c r="J243">
        <f t="shared" si="149"/>
        <v>1.7695312499999999E-11</v>
      </c>
      <c r="K243" s="1">
        <f t="shared" si="127"/>
        <v>7.96628072079133E-2</v>
      </c>
      <c r="L243">
        <f t="shared" si="150"/>
        <v>7.9662807207913294E-8</v>
      </c>
      <c r="M243">
        <f t="shared" si="151"/>
        <v>0.9203371927920867</v>
      </c>
      <c r="N243">
        <f t="shared" si="152"/>
        <v>9.2033719279208669E-7</v>
      </c>
      <c r="O243">
        <f t="shared" si="153"/>
        <v>464.11780449944212</v>
      </c>
      <c r="P243">
        <f t="shared" si="128"/>
        <v>8.5429764039699212E-4</v>
      </c>
      <c r="Q243">
        <f t="shared" si="154"/>
        <v>3.0870887899012516E-15</v>
      </c>
      <c r="R243">
        <f t="shared" si="155"/>
        <v>1.4752495334067037E-18</v>
      </c>
      <c r="S243">
        <f t="shared" si="129"/>
        <v>1.7340664343824898E-14</v>
      </c>
      <c r="T243">
        <f t="shared" si="130"/>
        <v>9.1266654441183677E-18</v>
      </c>
      <c r="U243">
        <f t="shared" si="156"/>
        <v>4.8059912118234306E-13</v>
      </c>
      <c r="V243">
        <f t="shared" si="131"/>
        <v>1.8990183381246009E-5</v>
      </c>
      <c r="W243">
        <f t="shared" si="132"/>
        <v>3.6081348424367415E-2</v>
      </c>
      <c r="X243">
        <f t="shared" si="133"/>
        <v>6.6498893306180733</v>
      </c>
      <c r="Y243">
        <f t="shared" si="134"/>
        <v>7.1858537583298191E-9</v>
      </c>
      <c r="Z243">
        <f t="shared" si="135"/>
        <v>0.85908765846702484</v>
      </c>
      <c r="AA243">
        <f t="shared" si="136"/>
        <v>2.2119140625000001E-11</v>
      </c>
      <c r="AC243">
        <f t="shared" si="137"/>
        <v>0.99921664766332252</v>
      </c>
      <c r="AD243">
        <f t="shared" si="157"/>
        <v>7.0462608397206452</v>
      </c>
      <c r="AE243">
        <f t="shared" si="138"/>
        <v>3.7150725750006437</v>
      </c>
      <c r="AF243">
        <f t="shared" si="139"/>
        <v>2.9051078387548315E-6</v>
      </c>
      <c r="AG243">
        <f t="shared" si="158"/>
        <v>0.79065032395586876</v>
      </c>
      <c r="AH243">
        <f t="shared" si="159"/>
        <v>1.3799262234085449E-8</v>
      </c>
      <c r="AI243">
        <f t="shared" si="160"/>
        <v>18.624409095284584</v>
      </c>
      <c r="AJ243">
        <f t="shared" si="161"/>
        <v>2226596941.4494162</v>
      </c>
      <c r="AK243">
        <f t="shared" si="162"/>
        <v>59061.546408433423</v>
      </c>
      <c r="AL243">
        <f t="shared" si="163"/>
        <v>4784.367415459712</v>
      </c>
      <c r="AM243">
        <f t="shared" si="164"/>
        <v>0.28461635665748869</v>
      </c>
      <c r="AN243">
        <f t="shared" si="165"/>
        <v>3.7059686988937817E+26</v>
      </c>
      <c r="AO243">
        <f t="shared" si="166"/>
        <v>3.0648063499442606E+203</v>
      </c>
      <c r="AP243">
        <f t="shared" si="167"/>
        <v>45980815131.759636</v>
      </c>
      <c r="AQ243">
        <f t="shared" si="168"/>
        <v>1.7597758342304465E+74</v>
      </c>
      <c r="AR243">
        <f t="shared" si="169"/>
        <v>1.6502391837919601</v>
      </c>
      <c r="AS243">
        <f t="shared" si="170"/>
        <v>20.371695916079435</v>
      </c>
      <c r="AT243">
        <f t="shared" si="140"/>
        <v>97465.678138544143</v>
      </c>
      <c r="AU243">
        <f t="shared" si="140"/>
        <v>97465.678138544143</v>
      </c>
      <c r="AW243" s="2">
        <f t="shared" si="141"/>
        <v>1.0085820895522384</v>
      </c>
      <c r="AX243">
        <f t="shared" si="142"/>
        <v>0.72735580700406066</v>
      </c>
      <c r="AY243">
        <f t="shared" si="171"/>
        <v>3.7112516699364041E-3</v>
      </c>
      <c r="AZ243">
        <f t="shared" si="171"/>
        <v>-0.13825308953003498</v>
      </c>
      <c r="BA243">
        <f t="shared" si="172"/>
        <v>0.72116668988933907</v>
      </c>
      <c r="BC243">
        <f t="shared" si="173"/>
        <v>363.67790350203035</v>
      </c>
      <c r="BJ243">
        <f t="shared" si="174"/>
        <v>6.3905072280281943E-15</v>
      </c>
      <c r="BK243">
        <f t="shared" si="175"/>
        <v>7.9940648158669525E-2</v>
      </c>
      <c r="BL243" s="4">
        <f t="shared" si="176"/>
        <v>1.0034877122774633</v>
      </c>
      <c r="BM243" s="1">
        <f t="shared" si="143"/>
        <v>7.96628072079133E-2</v>
      </c>
      <c r="BN243">
        <f t="shared" si="177"/>
        <v>-1.098744393715978</v>
      </c>
      <c r="BO243">
        <f t="shared" si="178"/>
        <v>-1.0972323348025539</v>
      </c>
      <c r="BQ243">
        <f t="shared" si="179"/>
        <v>-0.34877122774632258</v>
      </c>
    </row>
    <row r="244" spans="1:69">
      <c r="A244">
        <v>1.3722000000000001</v>
      </c>
      <c r="B244">
        <v>55.51</v>
      </c>
      <c r="C244">
        <f t="shared" si="144"/>
        <v>2.3722000000000003</v>
      </c>
      <c r="D244">
        <f t="shared" si="145"/>
        <v>1.3722000000000003</v>
      </c>
      <c r="E244">
        <f t="shared" si="146"/>
        <v>137220.00000000003</v>
      </c>
      <c r="F244">
        <f t="shared" si="147"/>
        <v>1024029850.7462689</v>
      </c>
      <c r="G244">
        <f t="shared" si="148"/>
        <v>2.9652500000000002</v>
      </c>
      <c r="H244">
        <f t="shared" si="125"/>
        <v>1.9068879532058001</v>
      </c>
      <c r="I244">
        <f t="shared" si="126"/>
        <v>9.2516666666666659E-4</v>
      </c>
      <c r="J244">
        <f t="shared" si="149"/>
        <v>1.8069661458333333E-11</v>
      </c>
      <c r="K244" s="1">
        <f t="shared" si="127"/>
        <v>7.8571447737889044E-2</v>
      </c>
      <c r="L244">
        <f t="shared" si="150"/>
        <v>7.8571447737889036E-8</v>
      </c>
      <c r="M244">
        <f t="shared" si="151"/>
        <v>0.92142855226211096</v>
      </c>
      <c r="N244">
        <f t="shared" si="152"/>
        <v>9.2142855226211096E-7</v>
      </c>
      <c r="O244">
        <f t="shared" si="153"/>
        <v>471.78517142316002</v>
      </c>
      <c r="P244">
        <f t="shared" si="128"/>
        <v>8.6944055944101952E-4</v>
      </c>
      <c r="Q244">
        <f t="shared" si="154"/>
        <v>3.004253137537499E-15</v>
      </c>
      <c r="R244">
        <f t="shared" si="155"/>
        <v>1.458742114923829E-18</v>
      </c>
      <c r="S244">
        <f t="shared" si="129"/>
        <v>1.7209857289236836E-14</v>
      </c>
      <c r="T244">
        <f t="shared" si="130"/>
        <v>9.0578196259141245E-18</v>
      </c>
      <c r="U244">
        <f t="shared" si="156"/>
        <v>4.742844304527229E-13</v>
      </c>
      <c r="V244">
        <f t="shared" si="131"/>
        <v>1.9097864159841982E-5</v>
      </c>
      <c r="W244">
        <f t="shared" si="132"/>
        <v>3.628594190369977E-2</v>
      </c>
      <c r="X244">
        <f t="shared" si="133"/>
        <v>6.7744932143917254</v>
      </c>
      <c r="Y244">
        <f t="shared" si="134"/>
        <v>7.1275974697665595E-9</v>
      </c>
      <c r="Z244">
        <f t="shared" si="135"/>
        <v>0.87622283476227703</v>
      </c>
      <c r="AA244">
        <f t="shared" si="136"/>
        <v>2.2587076822916666E-11</v>
      </c>
      <c r="AC244">
        <f t="shared" si="137"/>
        <v>0.99923864630046899</v>
      </c>
      <c r="AD244">
        <f t="shared" si="157"/>
        <v>7.1951679204421168</v>
      </c>
      <c r="AE244">
        <f t="shared" si="138"/>
        <v>3.7703787685270451</v>
      </c>
      <c r="AF244">
        <f t="shared" si="139"/>
        <v>2.8831935341976007E-6</v>
      </c>
      <c r="AG244">
        <f t="shared" si="158"/>
        <v>0.80737673809400801</v>
      </c>
      <c r="AH244">
        <f t="shared" si="159"/>
        <v>1.3695169287438603E-8</v>
      </c>
      <c r="AI244">
        <f t="shared" si="160"/>
        <v>18.260195198337719</v>
      </c>
      <c r="AJ244">
        <f t="shared" si="161"/>
        <v>2244795678.7497964</v>
      </c>
      <c r="AK244">
        <f t="shared" si="162"/>
        <v>60011.87352138765</v>
      </c>
      <c r="AL244">
        <f t="shared" si="163"/>
        <v>4750.9756844334534</v>
      </c>
      <c r="AM244">
        <f t="shared" si="164"/>
        <v>0.28136677398787924</v>
      </c>
      <c r="AN244">
        <f t="shared" si="165"/>
        <v>3.7293584390320397E+26</v>
      </c>
      <c r="AO244">
        <f t="shared" si="166"/>
        <v>3.4911329719700549E+203</v>
      </c>
      <c r="AP244">
        <f t="shared" si="167"/>
        <v>39522921561.498787</v>
      </c>
      <c r="AQ244">
        <f t="shared" si="168"/>
        <v>1.2829920349809125E+74</v>
      </c>
      <c r="AR244">
        <f t="shared" si="169"/>
        <v>1.6419008094801051</v>
      </c>
      <c r="AS244">
        <f t="shared" si="170"/>
        <v>20.739643866422785</v>
      </c>
      <c r="AT244">
        <f t="shared" si="140"/>
        <v>98533.543713184074</v>
      </c>
      <c r="AU244">
        <f t="shared" si="140"/>
        <v>98533.543713184059</v>
      </c>
      <c r="AW244" s="2">
        <f t="shared" si="141"/>
        <v>1.0240298507462688</v>
      </c>
      <c r="AX244">
        <f t="shared" si="142"/>
        <v>0.73532495308346302</v>
      </c>
      <c r="AY244">
        <f t="shared" si="171"/>
        <v>1.0312616625584569E-2</v>
      </c>
      <c r="AZ244">
        <f t="shared" si="171"/>
        <v>-0.1335206960946583</v>
      </c>
      <c r="BA244">
        <f t="shared" si="172"/>
        <v>0.71806984195586665</v>
      </c>
      <c r="BC244">
        <f t="shared" si="173"/>
        <v>367.66247654173156</v>
      </c>
      <c r="BJ244">
        <f t="shared" si="174"/>
        <v>6.2735660409344892E-15</v>
      </c>
      <c r="BK244">
        <f t="shared" si="175"/>
        <v>7.9205846002264824E-2</v>
      </c>
      <c r="BL244" s="4">
        <f t="shared" si="176"/>
        <v>1.008074157758835</v>
      </c>
      <c r="BM244" s="1">
        <f t="shared" si="143"/>
        <v>7.8571447737889044E-2</v>
      </c>
      <c r="BN244">
        <f t="shared" si="177"/>
        <v>-1.104735244579633</v>
      </c>
      <c r="BO244">
        <f t="shared" si="178"/>
        <v>-1.101242762945509</v>
      </c>
      <c r="BQ244">
        <f t="shared" si="179"/>
        <v>-0.8074157758835051</v>
      </c>
    </row>
    <row r="245" spans="1:69">
      <c r="A245">
        <v>1.3942000000000001</v>
      </c>
      <c r="B245">
        <v>56.938000000000002</v>
      </c>
      <c r="C245">
        <f t="shared" si="144"/>
        <v>2.3942000000000001</v>
      </c>
      <c r="D245">
        <f t="shared" si="145"/>
        <v>1.3942000000000001</v>
      </c>
      <c r="E245">
        <f t="shared" si="146"/>
        <v>139420</v>
      </c>
      <c r="F245">
        <f t="shared" si="147"/>
        <v>1040447761.1940298</v>
      </c>
      <c r="G245">
        <f t="shared" si="148"/>
        <v>2.99275</v>
      </c>
      <c r="H245">
        <f t="shared" si="125"/>
        <v>1.9193283585704068</v>
      </c>
      <c r="I245">
        <f t="shared" si="126"/>
        <v>9.4896666666666673E-4</v>
      </c>
      <c r="J245">
        <f t="shared" si="149"/>
        <v>1.8534505208333333E-11</v>
      </c>
      <c r="K245" s="1">
        <f t="shared" si="127"/>
        <v>7.6922203628417618E-2</v>
      </c>
      <c r="L245">
        <f t="shared" si="150"/>
        <v>7.6922203628417609E-8</v>
      </c>
      <c r="M245">
        <f t="shared" si="151"/>
        <v>0.92307779637158238</v>
      </c>
      <c r="N245">
        <f t="shared" si="152"/>
        <v>9.2307779637158237E-7</v>
      </c>
      <c r="O245">
        <f t="shared" si="153"/>
        <v>480.20711332136568</v>
      </c>
      <c r="P245">
        <f t="shared" si="128"/>
        <v>8.8654498072936498E-4</v>
      </c>
      <c r="Q245">
        <f t="shared" si="154"/>
        <v>2.8811487753199542E-15</v>
      </c>
      <c r="R245">
        <f t="shared" si="155"/>
        <v>1.4230010189387574E-18</v>
      </c>
      <c r="S245">
        <f t="shared" si="129"/>
        <v>1.688140495905601E-14</v>
      </c>
      <c r="T245">
        <f t="shared" si="130"/>
        <v>8.8849499784505324E-18</v>
      </c>
      <c r="U245">
        <f t="shared" si="156"/>
        <v>4.6472757607148565E-13</v>
      </c>
      <c r="V245">
        <f t="shared" si="131"/>
        <v>1.9118620103326569E-5</v>
      </c>
      <c r="W245">
        <f t="shared" si="132"/>
        <v>3.6325378196320479E-2</v>
      </c>
      <c r="X245">
        <f t="shared" si="133"/>
        <v>6.9239594344876254</v>
      </c>
      <c r="Y245">
        <f t="shared" si="134"/>
        <v>6.9855703462416123E-9</v>
      </c>
      <c r="Z245">
        <f t="shared" si="135"/>
        <v>0.89715794735444476</v>
      </c>
      <c r="AA245">
        <f t="shared" si="136"/>
        <v>2.3168131510416666E-11</v>
      </c>
      <c r="AC245">
        <f t="shared" si="137"/>
        <v>0.99927188287448132</v>
      </c>
      <c r="AD245">
        <f t="shared" si="157"/>
        <v>7.3800188222629632</v>
      </c>
      <c r="AE245">
        <f t="shared" si="138"/>
        <v>3.842305185166313</v>
      </c>
      <c r="AF245">
        <f t="shared" si="139"/>
        <v>2.8281674163893982E-6</v>
      </c>
      <c r="AG245">
        <f t="shared" si="158"/>
        <v>0.82814658104119288</v>
      </c>
      <c r="AH245">
        <f t="shared" si="159"/>
        <v>1.3433795227849642E-8</v>
      </c>
      <c r="AI245">
        <f t="shared" si="160"/>
        <v>17.834094929639846</v>
      </c>
      <c r="AJ245">
        <f t="shared" si="161"/>
        <v>2290435742.1020484</v>
      </c>
      <c r="AK245">
        <f t="shared" si="162"/>
        <v>61266.165535710774</v>
      </c>
      <c r="AL245">
        <f t="shared" si="163"/>
        <v>4664.3028417661353</v>
      </c>
      <c r="AM245">
        <f t="shared" si="164"/>
        <v>0.27591989759224339</v>
      </c>
      <c r="AN245">
        <f t="shared" si="165"/>
        <v>3.7877883525295976E+26</v>
      </c>
      <c r="AO245">
        <f t="shared" si="166"/>
        <v>4.8175596796469474E+203</v>
      </c>
      <c r="AP245">
        <f t="shared" si="167"/>
        <v>32918765689.153431</v>
      </c>
      <c r="AQ245">
        <f t="shared" si="168"/>
        <v>8.7933526923411529E+73</v>
      </c>
      <c r="AR245">
        <f t="shared" si="169"/>
        <v>1.6279715850718011</v>
      </c>
      <c r="AS245">
        <f t="shared" si="170"/>
        <v>21.38359793565121</v>
      </c>
      <c r="AT245">
        <f t="shared" si="140"/>
        <v>99739.576618442414</v>
      </c>
      <c r="AU245">
        <f t="shared" si="140"/>
        <v>99739.576618442399</v>
      </c>
      <c r="AW245" s="2">
        <f t="shared" si="141"/>
        <v>1.0404477611940297</v>
      </c>
      <c r="AX245">
        <f t="shared" si="142"/>
        <v>0.74432519864509239</v>
      </c>
      <c r="AY245">
        <f t="shared" si="171"/>
        <v>1.7220280035680616E-2</v>
      </c>
      <c r="AZ245">
        <f t="shared" si="171"/>
        <v>-0.12823727800225959</v>
      </c>
      <c r="BA245">
        <f t="shared" si="172"/>
        <v>0.71538930295827285</v>
      </c>
      <c r="BC245">
        <f t="shared" si="173"/>
        <v>372.16259932254633</v>
      </c>
      <c r="BJ245">
        <f t="shared" si="174"/>
        <v>6.0794231801638487E-15</v>
      </c>
      <c r="BK245">
        <f t="shared" si="175"/>
        <v>7.7970655891584292E-2</v>
      </c>
      <c r="BL245" s="4">
        <f t="shared" si="176"/>
        <v>1.0136300341606352</v>
      </c>
      <c r="BM245" s="1">
        <f t="shared" si="143"/>
        <v>7.6922203628417618E-2</v>
      </c>
      <c r="BN245">
        <f t="shared" si="177"/>
        <v>-1.1139482828064953</v>
      </c>
      <c r="BO245">
        <f t="shared" si="178"/>
        <v>-1.1080688124652593</v>
      </c>
      <c r="BQ245">
        <f t="shared" si="179"/>
        <v>-1.3630034160635267</v>
      </c>
    </row>
    <row r="246" spans="1:69">
      <c r="A246">
        <v>1.4134</v>
      </c>
      <c r="B246">
        <v>58.18</v>
      </c>
      <c r="C246">
        <f t="shared" si="144"/>
        <v>2.4134000000000002</v>
      </c>
      <c r="D246">
        <f t="shared" si="145"/>
        <v>1.4134000000000002</v>
      </c>
      <c r="E246">
        <f t="shared" si="146"/>
        <v>141340.00000000003</v>
      </c>
      <c r="F246">
        <f t="shared" si="147"/>
        <v>1054776119.4029852</v>
      </c>
      <c r="G246">
        <f t="shared" si="148"/>
        <v>3.01675</v>
      </c>
      <c r="H246">
        <f t="shared" si="125"/>
        <v>1.9301854396158822</v>
      </c>
      <c r="I246">
        <f t="shared" si="126"/>
        <v>9.6966666666666664E-4</v>
      </c>
      <c r="J246">
        <f t="shared" si="149"/>
        <v>1.8938802083333333E-11</v>
      </c>
      <c r="K246" s="1">
        <f t="shared" si="127"/>
        <v>7.6245144024303602E-2</v>
      </c>
      <c r="L246">
        <f t="shared" si="150"/>
        <v>7.6245144024303597E-8</v>
      </c>
      <c r="M246">
        <f t="shared" si="151"/>
        <v>0.9237548559756964</v>
      </c>
      <c r="N246">
        <f t="shared" si="152"/>
        <v>9.2375485597569638E-7</v>
      </c>
      <c r="O246">
        <f t="shared" si="153"/>
        <v>487.17728113285426</v>
      </c>
      <c r="P246">
        <f t="shared" si="128"/>
        <v>9.0007270277246828E-4</v>
      </c>
      <c r="Q246">
        <f t="shared" si="154"/>
        <v>2.8313352951391732E-15</v>
      </c>
      <c r="R246">
        <f t="shared" si="155"/>
        <v>1.4183121031131917E-18</v>
      </c>
      <c r="S246">
        <f t="shared" si="129"/>
        <v>1.6863923799024442E-14</v>
      </c>
      <c r="T246">
        <f t="shared" si="130"/>
        <v>8.8757493679076013E-18</v>
      </c>
      <c r="U246">
        <f t="shared" si="156"/>
        <v>4.6079927902908347E-13</v>
      </c>
      <c r="V246">
        <f t="shared" si="131"/>
        <v>1.926163900822294E-5</v>
      </c>
      <c r="W246">
        <f t="shared" si="132"/>
        <v>3.6597114115623587E-2</v>
      </c>
      <c r="X246">
        <f t="shared" si="133"/>
        <v>7.0646258167646936</v>
      </c>
      <c r="Y246">
        <f t="shared" si="134"/>
        <v>6.9758805915489859E-9</v>
      </c>
      <c r="Z246">
        <f t="shared" si="135"/>
        <v>0.91605592418411785</v>
      </c>
      <c r="AA246">
        <f t="shared" si="136"/>
        <v>2.3673502604166667E-11</v>
      </c>
      <c r="AC246">
        <f t="shared" si="137"/>
        <v>0.99928815268522264</v>
      </c>
      <c r="AD246">
        <f t="shared" si="157"/>
        <v>7.5408778731690429</v>
      </c>
      <c r="AE246">
        <f t="shared" si="138"/>
        <v>3.9040341745628195</v>
      </c>
      <c r="AF246">
        <f t="shared" si="139"/>
        <v>2.8252387710944114E-6</v>
      </c>
      <c r="AG246">
        <f t="shared" si="158"/>
        <v>0.84621110831038326</v>
      </c>
      <c r="AH246">
        <f t="shared" si="159"/>
        <v>1.3419884162698451E-8</v>
      </c>
      <c r="AI246">
        <f t="shared" si="160"/>
        <v>17.466182552392038</v>
      </c>
      <c r="AJ246">
        <f t="shared" si="161"/>
        <v>2293617241.5828595</v>
      </c>
      <c r="AK246">
        <f t="shared" si="162"/>
        <v>62296.103550917942</v>
      </c>
      <c r="AL246">
        <f t="shared" si="163"/>
        <v>4661.113292125342</v>
      </c>
      <c r="AM246">
        <f t="shared" si="164"/>
        <v>0.27353593441039681</v>
      </c>
      <c r="AN246">
        <f t="shared" si="165"/>
        <v>3.7918493685591455E+26</v>
      </c>
      <c r="AO246">
        <f t="shared" si="166"/>
        <v>4.9257506371635992E+203</v>
      </c>
      <c r="AP246">
        <f t="shared" si="167"/>
        <v>27962624577.364532</v>
      </c>
      <c r="AQ246">
        <f t="shared" si="168"/>
        <v>6.2994876368242074E+73</v>
      </c>
      <c r="AR246">
        <f t="shared" si="169"/>
        <v>1.6218937762345629</v>
      </c>
      <c r="AS246">
        <f t="shared" si="170"/>
        <v>21.676723199068007</v>
      </c>
      <c r="AT246">
        <f t="shared" si="140"/>
        <v>101037.66263289766</v>
      </c>
      <c r="AU246">
        <f t="shared" si="140"/>
        <v>101037.66263289766</v>
      </c>
      <c r="AW246" s="2">
        <f t="shared" si="141"/>
        <v>1.0547761194029852</v>
      </c>
      <c r="AX246">
        <f t="shared" si="142"/>
        <v>0.75401240770819133</v>
      </c>
      <c r="AY246">
        <f t="shared" si="171"/>
        <v>2.3160288613896157E-2</v>
      </c>
      <c r="AZ246">
        <f t="shared" si="171"/>
        <v>-0.12262150750573779</v>
      </c>
      <c r="BA246">
        <f t="shared" si="172"/>
        <v>0.71485540280810544</v>
      </c>
      <c r="BC246">
        <f t="shared" si="173"/>
        <v>377.00620385409576</v>
      </c>
      <c r="BJ246">
        <f t="shared" si="174"/>
        <v>5.9951029817807448E-15</v>
      </c>
      <c r="BK246">
        <f t="shared" si="175"/>
        <v>7.742805035502795E-2</v>
      </c>
      <c r="BL246" s="4">
        <f t="shared" si="176"/>
        <v>1.0155145136895183</v>
      </c>
      <c r="BM246" s="1">
        <f t="shared" si="143"/>
        <v>7.6245144024303602E-2</v>
      </c>
      <c r="BN246">
        <f t="shared" si="177"/>
        <v>-1.1177878108743617</v>
      </c>
      <c r="BO246">
        <f t="shared" si="178"/>
        <v>-1.1111016761712251</v>
      </c>
      <c r="BQ246">
        <f t="shared" si="179"/>
        <v>-1.5514513689518241</v>
      </c>
    </row>
    <row r="247" spans="1:69">
      <c r="A247">
        <v>1.4325000000000001</v>
      </c>
      <c r="B247">
        <v>59.472999999999999</v>
      </c>
      <c r="C247">
        <f t="shared" si="144"/>
        <v>2.4325000000000001</v>
      </c>
      <c r="D247">
        <f t="shared" si="145"/>
        <v>1.4325000000000001</v>
      </c>
      <c r="E247">
        <f t="shared" si="146"/>
        <v>143250</v>
      </c>
      <c r="F247">
        <f t="shared" si="147"/>
        <v>1069029850.7462686</v>
      </c>
      <c r="G247">
        <f t="shared" si="148"/>
        <v>3.0406250000000004</v>
      </c>
      <c r="H247">
        <f t="shared" si="125"/>
        <v>1.9409859733642452</v>
      </c>
      <c r="I247">
        <f t="shared" si="126"/>
        <v>9.9121666666666659E-4</v>
      </c>
      <c r="J247">
        <f t="shared" si="149"/>
        <v>1.9359700520833332E-11</v>
      </c>
      <c r="K247" s="1">
        <f t="shared" si="127"/>
        <v>7.5037514298229024E-2</v>
      </c>
      <c r="L247">
        <f t="shared" si="150"/>
        <v>7.5037514298229022E-8</v>
      </c>
      <c r="M247">
        <f t="shared" si="151"/>
        <v>0.92496248570177098</v>
      </c>
      <c r="N247">
        <f t="shared" si="152"/>
        <v>9.2496248570177093E-7</v>
      </c>
      <c r="O247">
        <f t="shared" si="153"/>
        <v>494.40625401783092</v>
      </c>
      <c r="P247">
        <f t="shared" si="128"/>
        <v>9.146224405483037E-4</v>
      </c>
      <c r="Q247">
        <f t="shared" si="154"/>
        <v>2.7435340108604728E-15</v>
      </c>
      <c r="R247">
        <f t="shared" si="155"/>
        <v>1.3940515469611745E-18</v>
      </c>
      <c r="S247">
        <f t="shared" si="129"/>
        <v>1.6642334411797076E-14</v>
      </c>
      <c r="T247">
        <f t="shared" si="130"/>
        <v>8.7591233746300402E-18</v>
      </c>
      <c r="U247">
        <f t="shared" si="156"/>
        <v>4.5378546603167593E-13</v>
      </c>
      <c r="V247">
        <f t="shared" si="131"/>
        <v>1.9302344456352905E-5</v>
      </c>
      <c r="W247">
        <f t="shared" si="132"/>
        <v>3.6674454467070523E-2</v>
      </c>
      <c r="X247">
        <f t="shared" si="133"/>
        <v>7.2027862007548586</v>
      </c>
      <c r="Y247">
        <f t="shared" si="134"/>
        <v>6.8798997536313838E-9</v>
      </c>
      <c r="Z247">
        <f t="shared" si="135"/>
        <v>0.93519189054304175</v>
      </c>
      <c r="AA247">
        <f t="shared" si="136"/>
        <v>2.4199625651041666E-11</v>
      </c>
      <c r="AC247">
        <f t="shared" si="137"/>
        <v>0.99931276221332732</v>
      </c>
      <c r="AD247">
        <f t="shared" si="157"/>
        <v>7.7082775062458655</v>
      </c>
      <c r="AE247">
        <f t="shared" si="138"/>
        <v>3.9685913202773433</v>
      </c>
      <c r="AF247">
        <f t="shared" si="139"/>
        <v>2.7881155644480022E-6</v>
      </c>
      <c r="AG247">
        <f t="shared" si="158"/>
        <v>0.86501741568483037</v>
      </c>
      <c r="AH247">
        <f t="shared" si="159"/>
        <v>1.3243548931128009E-8</v>
      </c>
      <c r="AI247">
        <f t="shared" si="160"/>
        <v>17.108788219612563</v>
      </c>
      <c r="AJ247">
        <f t="shared" si="161"/>
        <v>2325615281.1753964</v>
      </c>
      <c r="AK247">
        <f t="shared" si="162"/>
        <v>63409.019230032653</v>
      </c>
      <c r="AL247">
        <f t="shared" si="163"/>
        <v>4602.7545230506021</v>
      </c>
      <c r="AM247">
        <f t="shared" si="164"/>
        <v>0.26942220663810457</v>
      </c>
      <c r="AN247">
        <f t="shared" si="165"/>
        <v>3.8326070613583512E+26</v>
      </c>
      <c r="AO247">
        <f t="shared" si="166"/>
        <v>6.1481331880519448E+203</v>
      </c>
      <c r="AP247">
        <f t="shared" si="167"/>
        <v>23745047386.98489</v>
      </c>
      <c r="AQ247">
        <f t="shared" si="168"/>
        <v>4.5252785309937768E+73</v>
      </c>
      <c r="AR247">
        <f t="shared" si="169"/>
        <v>1.6114327387059544</v>
      </c>
      <c r="AS247">
        <f t="shared" si="170"/>
        <v>22.199613080557661</v>
      </c>
      <c r="AT247">
        <f t="shared" si="140"/>
        <v>102179.36951651005</v>
      </c>
      <c r="AU247">
        <f t="shared" si="140"/>
        <v>102179.36951651008</v>
      </c>
      <c r="AW247" s="2">
        <f t="shared" si="141"/>
        <v>1.0690298507462686</v>
      </c>
      <c r="AX247">
        <f t="shared" si="142"/>
        <v>0.76253260833216474</v>
      </c>
      <c r="AY247">
        <f t="shared" si="171"/>
        <v>2.8989832274619914E-2</v>
      </c>
      <c r="AZ247">
        <f t="shared" si="171"/>
        <v>-0.11774157976357544</v>
      </c>
      <c r="BA247">
        <f t="shared" si="172"/>
        <v>0.71329402803846487</v>
      </c>
      <c r="BC247">
        <f t="shared" si="173"/>
        <v>381.26630416608225</v>
      </c>
      <c r="BJ247">
        <f t="shared" si="174"/>
        <v>5.8502218192006381E-15</v>
      </c>
      <c r="BK247">
        <f t="shared" si="175"/>
        <v>7.6486742767623711E-2</v>
      </c>
      <c r="BL247" s="4">
        <f t="shared" si="176"/>
        <v>1.0193133858836911</v>
      </c>
      <c r="BM247" s="1">
        <f t="shared" si="143"/>
        <v>7.5037514298229024E-2</v>
      </c>
      <c r="BN247">
        <f t="shared" si="177"/>
        <v>-1.1247215608822283</v>
      </c>
      <c r="BO247">
        <f t="shared" si="178"/>
        <v>-1.1164138333667337</v>
      </c>
      <c r="BQ247">
        <f t="shared" si="179"/>
        <v>-1.9313385883691117</v>
      </c>
    </row>
    <row r="248" spans="1:69">
      <c r="A248">
        <v>1.4505999999999999</v>
      </c>
      <c r="B248">
        <v>61.250999999999998</v>
      </c>
      <c r="C248">
        <f t="shared" si="144"/>
        <v>2.4505999999999997</v>
      </c>
      <c r="D248">
        <f t="shared" si="145"/>
        <v>1.4505999999999997</v>
      </c>
      <c r="E248">
        <f t="shared" si="146"/>
        <v>145059.99999999997</v>
      </c>
      <c r="F248">
        <f t="shared" si="147"/>
        <v>1082537313.4328356</v>
      </c>
      <c r="G248">
        <f t="shared" si="148"/>
        <v>3.0632499999999996</v>
      </c>
      <c r="H248">
        <f t="shared" si="125"/>
        <v>1.9512210341414895</v>
      </c>
      <c r="I248">
        <f t="shared" si="126"/>
        <v>1.02085E-3</v>
      </c>
      <c r="J248">
        <f t="shared" si="149"/>
        <v>1.99384765625E-11</v>
      </c>
      <c r="K248" s="1">
        <f t="shared" si="127"/>
        <v>7.2250336978747942E-2</v>
      </c>
      <c r="L248">
        <f t="shared" si="150"/>
        <v>7.2250336978747937E-8</v>
      </c>
      <c r="M248">
        <f t="shared" si="151"/>
        <v>0.92774966302125206</v>
      </c>
      <c r="N248">
        <f t="shared" si="152"/>
        <v>9.2774966302125203E-7</v>
      </c>
      <c r="O248">
        <f t="shared" si="153"/>
        <v>502.16181387262236</v>
      </c>
      <c r="P248">
        <f t="shared" si="128"/>
        <v>9.317689205028928E-4</v>
      </c>
      <c r="Q248">
        <f t="shared" si="154"/>
        <v>2.5460270164595905E-15</v>
      </c>
      <c r="R248">
        <f t="shared" si="155"/>
        <v>1.3125364951080238E-18</v>
      </c>
      <c r="S248">
        <f t="shared" si="129"/>
        <v>1.5814521882756271E-14</v>
      </c>
      <c r="T248">
        <f t="shared" si="130"/>
        <v>8.3234325698717217E-18</v>
      </c>
      <c r="U248">
        <f t="shared" si="156"/>
        <v>4.375627927670879E-13</v>
      </c>
      <c r="V248">
        <f t="shared" si="131"/>
        <v>1.9022258536278783E-5</v>
      </c>
      <c r="W248">
        <f t="shared" si="132"/>
        <v>3.6142291218929687E-2</v>
      </c>
      <c r="X248">
        <f t="shared" si="133"/>
        <v>7.3736155252492992</v>
      </c>
      <c r="Y248">
        <f t="shared" si="134"/>
        <v>6.5282317993792804E-9</v>
      </c>
      <c r="Z248">
        <f t="shared" si="135"/>
        <v>0.96025678253766278</v>
      </c>
      <c r="AA248">
        <f t="shared" si="136"/>
        <v>2.4923095703125001E-11</v>
      </c>
      <c r="AC248">
        <f t="shared" si="137"/>
        <v>0.99936586956927653</v>
      </c>
      <c r="AD248">
        <f t="shared" si="157"/>
        <v>7.9383016752699938</v>
      </c>
      <c r="AE248">
        <f t="shared" si="138"/>
        <v>4.0657965539511371</v>
      </c>
      <c r="AF248">
        <f t="shared" si="139"/>
        <v>2.6494308739746233E-6</v>
      </c>
      <c r="AG248">
        <f t="shared" si="158"/>
        <v>0.8908779064131882</v>
      </c>
      <c r="AH248">
        <f t="shared" si="159"/>
        <v>1.258479665137946E-8</v>
      </c>
      <c r="AI248">
        <f t="shared" si="160"/>
        <v>16.662209828622018</v>
      </c>
      <c r="AJ248">
        <f t="shared" si="161"/>
        <v>2450893364.6506357</v>
      </c>
      <c r="AK248">
        <f t="shared" si="162"/>
        <v>65157.886259197672</v>
      </c>
      <c r="AL248">
        <f t="shared" si="163"/>
        <v>4380.1400933339864</v>
      </c>
      <c r="AM248">
        <f t="shared" si="164"/>
        <v>0.25927491880806353</v>
      </c>
      <c r="AN248">
        <f t="shared" si="165"/>
        <v>3.9907124191296237E+26</v>
      </c>
      <c r="AO248">
        <f t="shared" si="166"/>
        <v>1.4234032884897218E+204</v>
      </c>
      <c r="AP248">
        <f t="shared" si="167"/>
        <v>19216067158.022713</v>
      </c>
      <c r="AQ248">
        <f t="shared" si="168"/>
        <v>2.9638682640915311E+73</v>
      </c>
      <c r="AR248">
        <f t="shared" si="169"/>
        <v>1.5857733211390548</v>
      </c>
      <c r="AS248">
        <f t="shared" si="170"/>
        <v>23.589573732789297</v>
      </c>
      <c r="AT248">
        <f t="shared" si="140"/>
        <v>103325.63769164868</v>
      </c>
      <c r="AU248">
        <f t="shared" si="140"/>
        <v>103325.63769164866</v>
      </c>
      <c r="AW248" s="2">
        <f t="shared" si="141"/>
        <v>1.0825373134328355</v>
      </c>
      <c r="AX248">
        <f t="shared" si="142"/>
        <v>0.77108684844513919</v>
      </c>
      <c r="AY248">
        <f t="shared" si="171"/>
        <v>3.4442874760919763E-2</v>
      </c>
      <c r="AZ248">
        <f t="shared" si="171"/>
        <v>-0.11289670408094275</v>
      </c>
      <c r="BA248">
        <f t="shared" si="172"/>
        <v>0.71229586165482339</v>
      </c>
      <c r="BC248">
        <f t="shared" si="173"/>
        <v>385.54342422256963</v>
      </c>
      <c r="BJ248">
        <f t="shared" si="174"/>
        <v>5.4975511602970844E-15</v>
      </c>
      <c r="BK248">
        <f t="shared" si="175"/>
        <v>7.4145472958887279E-2</v>
      </c>
      <c r="BL248" s="4">
        <f t="shared" si="176"/>
        <v>1.0262301334414092</v>
      </c>
      <c r="BM248" s="1">
        <f t="shared" si="143"/>
        <v>7.2250336978747942E-2</v>
      </c>
      <c r="BN248">
        <f t="shared" si="177"/>
        <v>-1.1411601229981347</v>
      </c>
      <c r="BO248">
        <f t="shared" si="178"/>
        <v>-1.1299153601985625</v>
      </c>
      <c r="BQ248">
        <f t="shared" si="179"/>
        <v>-2.6230133441409156</v>
      </c>
    </row>
    <row r="249" spans="1:69">
      <c r="A249">
        <v>1.4704999999999999</v>
      </c>
      <c r="B249">
        <v>62.691000000000003</v>
      </c>
      <c r="C249">
        <f t="shared" si="144"/>
        <v>2.4704999999999999</v>
      </c>
      <c r="D249">
        <f t="shared" si="145"/>
        <v>1.4704999999999999</v>
      </c>
      <c r="E249">
        <f t="shared" si="146"/>
        <v>147050</v>
      </c>
      <c r="F249">
        <f t="shared" si="147"/>
        <v>1097388059.7014925</v>
      </c>
      <c r="G249">
        <f t="shared" si="148"/>
        <v>3.0881249999999998</v>
      </c>
      <c r="H249">
        <f t="shared" si="125"/>
        <v>1.9624739462667482</v>
      </c>
      <c r="I249">
        <f t="shared" si="126"/>
        <v>1.0448499999999999E-3</v>
      </c>
      <c r="J249">
        <f t="shared" si="149"/>
        <v>2.0407226562499998E-11</v>
      </c>
      <c r="K249" s="1">
        <f t="shared" si="127"/>
        <v>7.0333528897682296E-2</v>
      </c>
      <c r="L249">
        <f t="shared" si="150"/>
        <v>7.0333528897682296E-8</v>
      </c>
      <c r="M249">
        <f t="shared" si="151"/>
        <v>0.9296664711023177</v>
      </c>
      <c r="N249">
        <f t="shared" si="152"/>
        <v>9.2966647110231766E-7</v>
      </c>
      <c r="O249">
        <f t="shared" si="153"/>
        <v>510.10244244625301</v>
      </c>
      <c r="P249">
        <f t="shared" si="128"/>
        <v>9.4845832158381134E-4</v>
      </c>
      <c r="Q249">
        <f t="shared" si="154"/>
        <v>2.4143655748135036E-15</v>
      </c>
      <c r="R249">
        <f t="shared" si="155"/>
        <v>1.2633885443084764E-18</v>
      </c>
      <c r="S249">
        <f t="shared" si="129"/>
        <v>1.5318558894560188E-14</v>
      </c>
      <c r="T249">
        <f t="shared" si="130"/>
        <v>8.0623994181895719E-18</v>
      </c>
      <c r="U249">
        <f t="shared" si="156"/>
        <v>4.263777482229983E-13</v>
      </c>
      <c r="V249">
        <f t="shared" si="131"/>
        <v>1.8909052950795371E-5</v>
      </c>
      <c r="W249">
        <f t="shared" si="132"/>
        <v>3.5927200606511209E-2</v>
      </c>
      <c r="X249">
        <f t="shared" si="133"/>
        <v>7.5158789538772117</v>
      </c>
      <c r="Y249">
        <f t="shared" si="134"/>
        <v>6.3172170051772127E-9</v>
      </c>
      <c r="Z249">
        <f t="shared" si="135"/>
        <v>0.98080582036541353</v>
      </c>
      <c r="AA249">
        <f t="shared" si="136"/>
        <v>2.5509033203125E-11</v>
      </c>
      <c r="AC249">
        <f t="shared" si="137"/>
        <v>0.99939984533055393</v>
      </c>
      <c r="AD249">
        <f t="shared" si="157"/>
        <v>8.1246535042834829</v>
      </c>
      <c r="AE249">
        <f t="shared" si="138"/>
        <v>4.137521148238255</v>
      </c>
      <c r="AF249">
        <f t="shared" si="139"/>
        <v>2.566341441172177E-6</v>
      </c>
      <c r="AG249">
        <f t="shared" si="158"/>
        <v>0.91182228585572778</v>
      </c>
      <c r="AH249">
        <f t="shared" si="159"/>
        <v>1.2190121845567839E-8</v>
      </c>
      <c r="AI249">
        <f t="shared" si="160"/>
        <v>16.313116896103825</v>
      </c>
      <c r="AJ249">
        <f t="shared" si="161"/>
        <v>2532760863.9828835</v>
      </c>
      <c r="AK249">
        <f t="shared" si="162"/>
        <v>66444.331040288525</v>
      </c>
      <c r="AL249">
        <f t="shared" si="163"/>
        <v>4246.9921686122616</v>
      </c>
      <c r="AM249">
        <f t="shared" si="164"/>
        <v>0.25282019584915416</v>
      </c>
      <c r="AN249">
        <f t="shared" si="165"/>
        <v>4.0928156843097865E+26</v>
      </c>
      <c r="AO249">
        <f t="shared" si="166"/>
        <v>2.4079324436654626E+204</v>
      </c>
      <c r="AP249">
        <f t="shared" si="167"/>
        <v>16188280718.117073</v>
      </c>
      <c r="AQ249">
        <f t="shared" si="168"/>
        <v>2.1121681047311937E+73</v>
      </c>
      <c r="AR249">
        <f t="shared" si="169"/>
        <v>1.5695584431275127</v>
      </c>
      <c r="AS249">
        <f t="shared" si="170"/>
        <v>24.555793051137496</v>
      </c>
      <c r="AT249">
        <f t="shared" si="140"/>
        <v>104288.26078224432</v>
      </c>
      <c r="AU249">
        <f t="shared" si="140"/>
        <v>104288.26078224434</v>
      </c>
      <c r="AW249" s="2">
        <f t="shared" si="141"/>
        <v>1.0973880597014924</v>
      </c>
      <c r="AX249">
        <f t="shared" si="142"/>
        <v>0.77827060285256955</v>
      </c>
      <c r="AY249">
        <f t="shared" si="171"/>
        <v>4.0360230478280482E-2</v>
      </c>
      <c r="AZ249">
        <f t="shared" si="171"/>
        <v>-0.10886937358570174</v>
      </c>
      <c r="BA249">
        <f t="shared" si="172"/>
        <v>0.7092027254827904</v>
      </c>
      <c r="BC249">
        <f t="shared" si="173"/>
        <v>389.1353014262848</v>
      </c>
      <c r="BJ249">
        <f t="shared" si="174"/>
        <v>5.2759879286527853E-15</v>
      </c>
      <c r="BK249">
        <f t="shared" si="175"/>
        <v>7.26359960945865E-2</v>
      </c>
      <c r="BL249" s="4">
        <f t="shared" si="176"/>
        <v>1.0327364094051603</v>
      </c>
      <c r="BM249" s="1">
        <f t="shared" si="143"/>
        <v>7.0333528897682296E-2</v>
      </c>
      <c r="BN249">
        <f t="shared" si="177"/>
        <v>-1.1528375918523082</v>
      </c>
      <c r="BO249">
        <f t="shared" si="178"/>
        <v>-1.1388481033904974</v>
      </c>
      <c r="BQ249">
        <f t="shared" si="179"/>
        <v>-3.2736409405160343</v>
      </c>
    </row>
    <row r="250" spans="1:69">
      <c r="A250">
        <v>1.4913000000000001</v>
      </c>
      <c r="B250">
        <v>64.447999999999993</v>
      </c>
      <c r="C250">
        <f t="shared" si="144"/>
        <v>2.4912999999999998</v>
      </c>
      <c r="D250">
        <f t="shared" si="145"/>
        <v>1.4912999999999998</v>
      </c>
      <c r="E250">
        <f t="shared" si="146"/>
        <v>149129.99999999997</v>
      </c>
      <c r="F250">
        <f t="shared" si="147"/>
        <v>1112910447.7611938</v>
      </c>
      <c r="G250">
        <f t="shared" si="148"/>
        <v>3.1141249999999996</v>
      </c>
      <c r="H250">
        <f t="shared" si="125"/>
        <v>1.974235784066013</v>
      </c>
      <c r="I250">
        <f t="shared" si="126"/>
        <v>1.0741333333333333E-3</v>
      </c>
      <c r="J250">
        <f t="shared" si="149"/>
        <v>2.0979166666666665E-11</v>
      </c>
      <c r="K250" s="1">
        <f t="shared" si="127"/>
        <v>6.8053753403006789E-2</v>
      </c>
      <c r="L250">
        <f t="shared" si="150"/>
        <v>6.8053753403006788E-8</v>
      </c>
      <c r="M250">
        <f t="shared" si="151"/>
        <v>0.93194624659699321</v>
      </c>
      <c r="N250">
        <f t="shared" si="152"/>
        <v>9.3194624659699313E-7</v>
      </c>
      <c r="O250">
        <f t="shared" si="153"/>
        <v>518.58635729481171</v>
      </c>
      <c r="P250">
        <f t="shared" si="128"/>
        <v>9.665973043912529E-4</v>
      </c>
      <c r="Q250">
        <f t="shared" si="154"/>
        <v>2.262208066085675E-15</v>
      </c>
      <c r="R250">
        <f t="shared" si="155"/>
        <v>1.2023800074037024E-18</v>
      </c>
      <c r="S250">
        <f t="shared" si="129"/>
        <v>1.4687746772411322E-14</v>
      </c>
      <c r="T250">
        <f t="shared" si="130"/>
        <v>7.730393038111222E-18</v>
      </c>
      <c r="U250">
        <f t="shared" si="156"/>
        <v>4.1304464347633456E-13</v>
      </c>
      <c r="V250">
        <f t="shared" si="131"/>
        <v>1.8715635610352941E-5</v>
      </c>
      <c r="W250">
        <f t="shared" si="132"/>
        <v>3.5559707659670592E-2</v>
      </c>
      <c r="X250">
        <f t="shared" si="133"/>
        <v>7.6887658157036824</v>
      </c>
      <c r="Y250">
        <f t="shared" si="134"/>
        <v>6.0499289403855839E-9</v>
      </c>
      <c r="Z250">
        <f t="shared" si="135"/>
        <v>1.0058276871011109</v>
      </c>
      <c r="AA250">
        <f t="shared" si="136"/>
        <v>2.6223958333333332E-11</v>
      </c>
      <c r="AC250">
        <f t="shared" si="137"/>
        <v>0.99944022466984117</v>
      </c>
      <c r="AD250">
        <f t="shared" si="157"/>
        <v>8.3520204473752244</v>
      </c>
      <c r="AE250">
        <f t="shared" si="138"/>
        <v>4.2281399515412135</v>
      </c>
      <c r="AF250">
        <f t="shared" si="139"/>
        <v>2.4606605281172416E-6</v>
      </c>
      <c r="AG250">
        <f t="shared" si="158"/>
        <v>0.9373773377172151</v>
      </c>
      <c r="AH250">
        <f t="shared" si="159"/>
        <v>1.1688137508556897E-8</v>
      </c>
      <c r="AI250">
        <f t="shared" si="160"/>
        <v>15.907297249008417</v>
      </c>
      <c r="AJ250">
        <f t="shared" si="161"/>
        <v>2644659161.7289672</v>
      </c>
      <c r="AK250">
        <f t="shared" si="162"/>
        <v>68066.082550391162</v>
      </c>
      <c r="AL250">
        <f t="shared" si="163"/>
        <v>4076.913656151788</v>
      </c>
      <c r="AM250">
        <f t="shared" si="164"/>
        <v>0.24473742078295202</v>
      </c>
      <c r="AN250">
        <f t="shared" si="165"/>
        <v>4.2308924471505257E+26</v>
      </c>
      <c r="AO250">
        <f t="shared" si="166"/>
        <v>4.8089764686560755E+204</v>
      </c>
      <c r="AP250">
        <f t="shared" si="167"/>
        <v>13169068647.580513</v>
      </c>
      <c r="AQ250">
        <f t="shared" si="168"/>
        <v>1.4114960021965545E+73</v>
      </c>
      <c r="AR250">
        <f t="shared" si="169"/>
        <v>1.5493712466973957</v>
      </c>
      <c r="AS250">
        <f t="shared" si="170"/>
        <v>25.867516477759086</v>
      </c>
      <c r="AT250">
        <f t="shared" si="140"/>
        <v>105459.63117890741</v>
      </c>
      <c r="AU250">
        <f t="shared" si="140"/>
        <v>105459.63117890741</v>
      </c>
      <c r="AW250" s="2">
        <f t="shared" si="141"/>
        <v>1.1129104477611937</v>
      </c>
      <c r="AX250">
        <f t="shared" si="142"/>
        <v>0.78701217297692083</v>
      </c>
      <c r="AY250">
        <f t="shared" si="171"/>
        <v>4.6460219493853878E-2</v>
      </c>
      <c r="AZ250">
        <f t="shared" si="171"/>
        <v>-0.10401855021295627</v>
      </c>
      <c r="BA250">
        <f t="shared" si="172"/>
        <v>0.70716576932144715</v>
      </c>
      <c r="BC250">
        <f t="shared" si="173"/>
        <v>393.50608648846043</v>
      </c>
      <c r="BJ250">
        <f t="shared" si="174"/>
        <v>5.0025361489587037E-15</v>
      </c>
      <c r="BK250">
        <f t="shared" si="175"/>
        <v>7.0728609126425659E-2</v>
      </c>
      <c r="BL250" s="4">
        <f t="shared" si="176"/>
        <v>1.0393050432880413</v>
      </c>
      <c r="BM250" s="1">
        <f t="shared" si="143"/>
        <v>6.8053753403006789E-2</v>
      </c>
      <c r="BN250">
        <f t="shared" si="177"/>
        <v>-1.16714791693734</v>
      </c>
      <c r="BO250">
        <f t="shared" si="178"/>
        <v>-1.1504048822067883</v>
      </c>
      <c r="BQ250">
        <f t="shared" si="179"/>
        <v>-3.9305043288041306</v>
      </c>
    </row>
    <row r="251" spans="1:69">
      <c r="K251" s="4"/>
      <c r="L251" s="4"/>
      <c r="M251" s="4"/>
      <c r="N251" s="4"/>
      <c r="O251" s="4"/>
      <c r="P251" s="4"/>
      <c r="BK251" s="1" t="s">
        <v>106</v>
      </c>
      <c r="BL251" s="4">
        <f>AVERAGE(BL237:BL250)</f>
        <v>1.007489856435966</v>
      </c>
      <c r="BP251" s="1" t="s">
        <v>106</v>
      </c>
      <c r="BQ251">
        <f>AVERAGE(BQ237:BQ250)</f>
        <v>-0.7489856435966108</v>
      </c>
    </row>
    <row r="252" spans="1:69">
      <c r="A252" s="1" t="s">
        <v>107</v>
      </c>
      <c r="K252" s="4"/>
      <c r="L252" s="4"/>
      <c r="M252" s="4"/>
      <c r="N252" s="4"/>
      <c r="O252" s="4"/>
      <c r="P252" s="4"/>
      <c r="BK252" s="1" t="s">
        <v>108</v>
      </c>
      <c r="BL252" s="4">
        <f>_xlfn.VAR.S(BL237:BL250)</f>
        <v>3.3481862345913872E-4</v>
      </c>
      <c r="BP252" s="1" t="s">
        <v>108</v>
      </c>
      <c r="BQ252">
        <f>_xlfn.VAR.S(BQ237:BQ250)</f>
        <v>3.3481862345913833</v>
      </c>
    </row>
    <row r="253" spans="1:69">
      <c r="A253" t="s">
        <v>28</v>
      </c>
      <c r="B253" t="s">
        <v>29</v>
      </c>
      <c r="C253" t="s">
        <v>51</v>
      </c>
      <c r="D253" t="s">
        <v>52</v>
      </c>
      <c r="E253" t="s">
        <v>53</v>
      </c>
      <c r="F253" s="3" t="s">
        <v>54</v>
      </c>
      <c r="G253" t="s">
        <v>55</v>
      </c>
      <c r="H253" t="s">
        <v>56</v>
      </c>
      <c r="I253" t="s">
        <v>57</v>
      </c>
      <c r="J253" t="s">
        <v>58</v>
      </c>
      <c r="K253" s="4"/>
      <c r="L253" s="4"/>
      <c r="M253" s="4"/>
      <c r="N253" s="4"/>
      <c r="O253" s="4"/>
      <c r="P253" s="4"/>
      <c r="BK253" s="1" t="s">
        <v>109</v>
      </c>
      <c r="BL253">
        <f>BL252^0.5</f>
        <v>1.829804971736438E-2</v>
      </c>
      <c r="BP253" s="1" t="s">
        <v>109</v>
      </c>
      <c r="BQ253">
        <f>BQ252^0.5</f>
        <v>1.8298049717364371</v>
      </c>
    </row>
    <row r="254" spans="1:69">
      <c r="A254">
        <v>1.2342</v>
      </c>
      <c r="B254">
        <v>67.415000000000006</v>
      </c>
      <c r="C254">
        <f>A254+1</f>
        <v>2.2342</v>
      </c>
      <c r="D254">
        <f>C254-1</f>
        <v>1.2342</v>
      </c>
      <c r="E254">
        <f>D254*100000</f>
        <v>123420</v>
      </c>
      <c r="F254">
        <f>E254/(0.000134)</f>
        <v>921044776.119403</v>
      </c>
      <c r="G254">
        <f>1.25*C254/1</f>
        <v>2.7927499999999998</v>
      </c>
      <c r="H254">
        <f t="shared" ref="H254:H267" si="180">(((((C254+1)*100000)/2)*28.02)/(8.314*298))/1000</f>
        <v>1.8288526831914471</v>
      </c>
      <c r="I254">
        <f t="shared" ref="I254:I267" si="181">B254/60000</f>
        <v>1.1235833333333334E-3</v>
      </c>
      <c r="J254">
        <f>I254/51200000</f>
        <v>2.1944986979166668E-11</v>
      </c>
      <c r="K254" s="4"/>
      <c r="L254" s="4"/>
      <c r="M254" s="4"/>
      <c r="N254" s="4"/>
      <c r="O254" s="4"/>
      <c r="P254" s="4"/>
      <c r="BK254" s="1" t="s">
        <v>110</v>
      </c>
      <c r="BL254">
        <f>BL253*100</f>
        <v>1.829804971736438</v>
      </c>
    </row>
    <row r="255" spans="1:69">
      <c r="A255" s="1">
        <v>1.2555000000000001</v>
      </c>
      <c r="B255" s="1">
        <v>68.488</v>
      </c>
      <c r="C255">
        <f>A255+1</f>
        <v>2.2555000000000001</v>
      </c>
      <c r="D255">
        <f>C255-1</f>
        <v>1.2555000000000001</v>
      </c>
      <c r="E255">
        <f>D255*100000</f>
        <v>125550</v>
      </c>
      <c r="F255">
        <f>E255/(0.000134)</f>
        <v>936940298.50746262</v>
      </c>
      <c r="G255">
        <f>1.25*C255/1</f>
        <v>2.819375</v>
      </c>
      <c r="H255">
        <f t="shared" si="180"/>
        <v>1.840897257476271</v>
      </c>
      <c r="I255">
        <f t="shared" si="181"/>
        <v>1.1414666666666666E-3</v>
      </c>
      <c r="J255">
        <f>I255/51200000</f>
        <v>2.2294270833333331E-11</v>
      </c>
      <c r="K255" s="4"/>
      <c r="L255" s="4"/>
      <c r="M255" s="4"/>
      <c r="N255" s="4"/>
      <c r="O255" s="4"/>
      <c r="P255" s="4"/>
    </row>
    <row r="256" spans="1:69">
      <c r="A256">
        <v>1.2722</v>
      </c>
      <c r="B256">
        <v>69.978999999999999</v>
      </c>
      <c r="C256">
        <f t="shared" ref="C256:C267" si="182">A256+1</f>
        <v>2.2721999999999998</v>
      </c>
      <c r="D256">
        <f t="shared" ref="D256:D267" si="183">C256-1</f>
        <v>1.2721999999999998</v>
      </c>
      <c r="E256">
        <f t="shared" ref="E256:E267" si="184">D256*100000</f>
        <v>127219.99999999997</v>
      </c>
      <c r="F256">
        <f t="shared" ref="F256:F267" si="185">E256/(0.000134)</f>
        <v>949402985.07462656</v>
      </c>
      <c r="G256">
        <f t="shared" ref="G256:G267" si="186">1.25*C256/1</f>
        <v>2.8402499999999997</v>
      </c>
      <c r="H256">
        <f t="shared" si="180"/>
        <v>1.8503406560939499</v>
      </c>
      <c r="I256">
        <f t="shared" si="181"/>
        <v>1.1663166666666667E-3</v>
      </c>
      <c r="J256">
        <f t="shared" ref="J256:J267" si="187">I256/51200000</f>
        <v>2.2779622395833333E-11</v>
      </c>
    </row>
    <row r="257" spans="1:79">
      <c r="A257">
        <v>1.292</v>
      </c>
      <c r="B257">
        <v>71.337000000000003</v>
      </c>
      <c r="C257">
        <f t="shared" si="182"/>
        <v>2.2919999999999998</v>
      </c>
      <c r="D257">
        <f t="shared" si="183"/>
        <v>1.2919999999999998</v>
      </c>
      <c r="E257">
        <f t="shared" si="184"/>
        <v>129199.99999999999</v>
      </c>
      <c r="F257">
        <f t="shared" si="185"/>
        <v>964179104.47761178</v>
      </c>
      <c r="G257">
        <f t="shared" si="186"/>
        <v>2.8649999999999998</v>
      </c>
      <c r="H257">
        <f t="shared" si="180"/>
        <v>1.8615370209220963</v>
      </c>
      <c r="I257">
        <f t="shared" si="181"/>
        <v>1.18895E-3</v>
      </c>
      <c r="J257">
        <f t="shared" si="187"/>
        <v>2.3221679687500001E-11</v>
      </c>
    </row>
    <row r="258" spans="1:79">
      <c r="A258">
        <v>1.3113999999999999</v>
      </c>
      <c r="B258">
        <v>72.914000000000001</v>
      </c>
      <c r="C258">
        <f t="shared" si="182"/>
        <v>2.3113999999999999</v>
      </c>
      <c r="D258">
        <f t="shared" si="183"/>
        <v>1.3113999999999999</v>
      </c>
      <c r="E258">
        <f t="shared" si="184"/>
        <v>131140</v>
      </c>
      <c r="F258">
        <f t="shared" si="185"/>
        <v>978656716.41791046</v>
      </c>
      <c r="G258">
        <f t="shared" si="186"/>
        <v>2.8892499999999997</v>
      </c>
      <c r="H258">
        <f t="shared" si="180"/>
        <v>1.8725071965617952</v>
      </c>
      <c r="I258">
        <f t="shared" si="181"/>
        <v>1.2152333333333334E-3</v>
      </c>
      <c r="J258">
        <f t="shared" si="187"/>
        <v>2.3735026041666669E-11</v>
      </c>
    </row>
    <row r="259" spans="1:79">
      <c r="A259">
        <v>1.3324</v>
      </c>
      <c r="B259">
        <v>74.209999999999994</v>
      </c>
      <c r="C259">
        <f t="shared" si="182"/>
        <v>2.3323999999999998</v>
      </c>
      <c r="D259">
        <f t="shared" si="183"/>
        <v>1.3323999999999998</v>
      </c>
      <c r="E259">
        <f t="shared" si="184"/>
        <v>133239.99999999997</v>
      </c>
      <c r="F259">
        <f t="shared" si="185"/>
        <v>994328358.20895493</v>
      </c>
      <c r="G259">
        <f t="shared" si="186"/>
        <v>2.9154999999999998</v>
      </c>
      <c r="H259">
        <f t="shared" si="180"/>
        <v>1.8843821289552836</v>
      </c>
      <c r="I259">
        <f t="shared" si="181"/>
        <v>1.2368333333333333E-3</v>
      </c>
      <c r="J259">
        <f t="shared" si="187"/>
        <v>2.4156901041666666E-11</v>
      </c>
    </row>
    <row r="260" spans="1:79">
      <c r="A260">
        <v>1.3512999999999999</v>
      </c>
      <c r="B260">
        <v>75.769000000000005</v>
      </c>
      <c r="C260">
        <f t="shared" si="182"/>
        <v>2.3513000000000002</v>
      </c>
      <c r="D260">
        <f t="shared" si="183"/>
        <v>1.3513000000000002</v>
      </c>
      <c r="E260">
        <f t="shared" si="184"/>
        <v>135130.00000000003</v>
      </c>
      <c r="F260">
        <f t="shared" si="185"/>
        <v>1008432835.8208957</v>
      </c>
      <c r="G260">
        <f t="shared" si="186"/>
        <v>2.9391250000000002</v>
      </c>
      <c r="H260">
        <f t="shared" si="180"/>
        <v>1.895069568109423</v>
      </c>
      <c r="I260">
        <f t="shared" si="181"/>
        <v>1.2628166666666667E-3</v>
      </c>
      <c r="J260">
        <f t="shared" si="187"/>
        <v>2.4664388020833334E-11</v>
      </c>
    </row>
    <row r="261" spans="1:79">
      <c r="A261">
        <v>1.3752</v>
      </c>
      <c r="B261">
        <v>77.006</v>
      </c>
      <c r="C261">
        <f t="shared" si="182"/>
        <v>2.3752</v>
      </c>
      <c r="D261">
        <f t="shared" si="183"/>
        <v>1.3752</v>
      </c>
      <c r="E261">
        <f t="shared" si="184"/>
        <v>137520</v>
      </c>
      <c r="F261">
        <f t="shared" si="185"/>
        <v>1026268656.7164179</v>
      </c>
      <c r="G261">
        <f t="shared" si="186"/>
        <v>2.9689999999999999</v>
      </c>
      <c r="H261">
        <f t="shared" si="180"/>
        <v>1.9085843721191553</v>
      </c>
      <c r="I261">
        <f t="shared" si="181"/>
        <v>1.2834333333333334E-3</v>
      </c>
      <c r="J261">
        <f t="shared" si="187"/>
        <v>2.5067057291666667E-11</v>
      </c>
    </row>
    <row r="262" spans="1:79">
      <c r="A262">
        <v>1.3912</v>
      </c>
      <c r="B262">
        <v>78.424000000000007</v>
      </c>
      <c r="C262">
        <f t="shared" si="182"/>
        <v>2.3912</v>
      </c>
      <c r="D262">
        <f t="shared" si="183"/>
        <v>1.3912</v>
      </c>
      <c r="E262">
        <f t="shared" si="184"/>
        <v>139120</v>
      </c>
      <c r="F262">
        <f t="shared" si="185"/>
        <v>1038208955.2238805</v>
      </c>
      <c r="G262">
        <f t="shared" si="186"/>
        <v>2.9889999999999999</v>
      </c>
      <c r="H262">
        <f t="shared" si="180"/>
        <v>1.9176319396570514</v>
      </c>
      <c r="I262">
        <f t="shared" si="181"/>
        <v>1.3070666666666667E-3</v>
      </c>
      <c r="J262">
        <f t="shared" si="187"/>
        <v>2.5528645833333335E-11</v>
      </c>
    </row>
    <row r="263" spans="1:79">
      <c r="A263">
        <v>1.4136</v>
      </c>
      <c r="B263">
        <v>79.900000000000006</v>
      </c>
      <c r="C263">
        <f t="shared" si="182"/>
        <v>2.4135999999999997</v>
      </c>
      <c r="D263">
        <f t="shared" si="183"/>
        <v>1.4135999999999997</v>
      </c>
      <c r="E263">
        <f t="shared" si="184"/>
        <v>141359.99999999997</v>
      </c>
      <c r="F263">
        <f t="shared" si="185"/>
        <v>1054925373.1343281</v>
      </c>
      <c r="G263">
        <f t="shared" si="186"/>
        <v>3.0169999999999995</v>
      </c>
      <c r="H263">
        <f t="shared" si="180"/>
        <v>1.9302985342101056</v>
      </c>
      <c r="I263">
        <f t="shared" si="181"/>
        <v>1.3316666666666668E-3</v>
      </c>
      <c r="J263">
        <f t="shared" si="187"/>
        <v>2.6009114583333334E-11</v>
      </c>
    </row>
    <row r="264" spans="1:79">
      <c r="A264">
        <v>1.4311</v>
      </c>
      <c r="B264">
        <v>81.25</v>
      </c>
      <c r="C264">
        <f t="shared" si="182"/>
        <v>2.4310999999999998</v>
      </c>
      <c r="D264">
        <f t="shared" si="183"/>
        <v>1.4310999999999998</v>
      </c>
      <c r="E264">
        <f t="shared" si="184"/>
        <v>143109.99999999997</v>
      </c>
      <c r="F264">
        <f t="shared" si="185"/>
        <v>1067985074.6268654</v>
      </c>
      <c r="G264">
        <f t="shared" si="186"/>
        <v>3.038875</v>
      </c>
      <c r="H264">
        <f t="shared" si="180"/>
        <v>1.9401943112046793</v>
      </c>
      <c r="I264">
        <f t="shared" si="181"/>
        <v>1.3541666666666667E-3</v>
      </c>
      <c r="J264">
        <f t="shared" si="187"/>
        <v>2.6448567708333334E-11</v>
      </c>
    </row>
    <row r="265" spans="1:79">
      <c r="A265">
        <v>1.4521999999999999</v>
      </c>
      <c r="B265">
        <v>82.677999999999997</v>
      </c>
      <c r="C265">
        <f t="shared" si="182"/>
        <v>2.4521999999999999</v>
      </c>
      <c r="D265">
        <f t="shared" si="183"/>
        <v>1.4521999999999999</v>
      </c>
      <c r="E265">
        <f t="shared" si="184"/>
        <v>145220</v>
      </c>
      <c r="F265">
        <f t="shared" si="185"/>
        <v>1083731343.283582</v>
      </c>
      <c r="G265">
        <f t="shared" si="186"/>
        <v>3.0652499999999998</v>
      </c>
      <c r="H265">
        <f t="shared" si="180"/>
        <v>1.9521257908952798</v>
      </c>
      <c r="I265">
        <f t="shared" si="181"/>
        <v>1.3779666666666665E-3</v>
      </c>
      <c r="J265">
        <f t="shared" si="187"/>
        <v>2.6913411458333331E-11</v>
      </c>
    </row>
    <row r="266" spans="1:79">
      <c r="A266">
        <v>1.4738</v>
      </c>
      <c r="B266">
        <v>83.926000000000002</v>
      </c>
      <c r="C266">
        <f t="shared" si="182"/>
        <v>2.4737999999999998</v>
      </c>
      <c r="D266">
        <f t="shared" si="183"/>
        <v>1.4737999999999998</v>
      </c>
      <c r="E266">
        <f t="shared" si="184"/>
        <v>147379.99999999997</v>
      </c>
      <c r="F266">
        <f t="shared" si="185"/>
        <v>1099850746.2686565</v>
      </c>
      <c r="G266">
        <f t="shared" si="186"/>
        <v>3.0922499999999999</v>
      </c>
      <c r="H266">
        <f t="shared" si="180"/>
        <v>1.9643400070714392</v>
      </c>
      <c r="I266">
        <f t="shared" si="181"/>
        <v>1.3987666666666666E-3</v>
      </c>
      <c r="J266">
        <f t="shared" si="187"/>
        <v>2.7319661458333333E-11</v>
      </c>
    </row>
    <row r="267" spans="1:79">
      <c r="A267">
        <v>1.4912000000000001</v>
      </c>
      <c r="B267">
        <v>85.436999999999998</v>
      </c>
      <c r="C267">
        <f t="shared" si="182"/>
        <v>2.4912000000000001</v>
      </c>
      <c r="D267">
        <f t="shared" si="183"/>
        <v>1.4912000000000001</v>
      </c>
      <c r="E267">
        <f t="shared" si="184"/>
        <v>149120</v>
      </c>
      <c r="F267">
        <f t="shared" si="185"/>
        <v>1112835820.8955224</v>
      </c>
      <c r="G267">
        <f t="shared" si="186"/>
        <v>3.1139999999999999</v>
      </c>
      <c r="H267">
        <f t="shared" si="180"/>
        <v>1.9741792367689011</v>
      </c>
      <c r="I267">
        <f t="shared" si="181"/>
        <v>1.42395E-3</v>
      </c>
      <c r="J267">
        <f t="shared" si="187"/>
        <v>2.78115234375E-11</v>
      </c>
    </row>
    <row r="269" spans="1:79">
      <c r="A269" s="8" t="s">
        <v>116</v>
      </c>
    </row>
    <row r="270" spans="1:79">
      <c r="A270" s="1" t="s">
        <v>49</v>
      </c>
      <c r="K270" s="9" t="s">
        <v>50</v>
      </c>
      <c r="L270" s="9"/>
      <c r="M270" s="9"/>
      <c r="BM270" s="4"/>
      <c r="BN270" s="15" t="s">
        <v>117</v>
      </c>
      <c r="BS270" s="15" t="s">
        <v>118</v>
      </c>
      <c r="BV270" s="4"/>
      <c r="BW270" s="4"/>
      <c r="BX270" s="4"/>
      <c r="BY270" s="4"/>
      <c r="BZ270" s="4"/>
      <c r="CA270" s="4"/>
    </row>
    <row r="271" spans="1:79">
      <c r="A271" t="s">
        <v>44</v>
      </c>
      <c r="B271" t="s">
        <v>45</v>
      </c>
      <c r="C271" t="s">
        <v>51</v>
      </c>
      <c r="D271" t="s">
        <v>52</v>
      </c>
      <c r="E271" t="s">
        <v>53</v>
      </c>
      <c r="F271" s="3" t="s">
        <v>54</v>
      </c>
      <c r="G271" t="s">
        <v>55</v>
      </c>
      <c r="H271" t="s">
        <v>56</v>
      </c>
      <c r="I271" t="s">
        <v>57</v>
      </c>
      <c r="J271" t="s">
        <v>58</v>
      </c>
      <c r="K271" s="1" t="s">
        <v>59</v>
      </c>
      <c r="L271" t="s">
        <v>60</v>
      </c>
      <c r="M271" t="s">
        <v>61</v>
      </c>
      <c r="N271" t="s">
        <v>62</v>
      </c>
      <c r="O271" t="s">
        <v>63</v>
      </c>
      <c r="P271" s="10" t="s">
        <v>64</v>
      </c>
      <c r="Q271" s="10" t="s">
        <v>65</v>
      </c>
      <c r="R271" s="10" t="s">
        <v>66</v>
      </c>
      <c r="S271" s="10" t="s">
        <v>67</v>
      </c>
      <c r="T271" s="10" t="s">
        <v>68</v>
      </c>
      <c r="U271" s="3" t="s">
        <v>69</v>
      </c>
      <c r="V271" s="10" t="s">
        <v>70</v>
      </c>
      <c r="W271" s="10" t="s">
        <v>71</v>
      </c>
      <c r="X271" s="11" t="s">
        <v>72</v>
      </c>
      <c r="Y271" s="11" t="s">
        <v>73</v>
      </c>
      <c r="Z271" s="11" t="s">
        <v>74</v>
      </c>
      <c r="AA271" s="11" t="s">
        <v>75</v>
      </c>
      <c r="AB271" s="12"/>
      <c r="AC271" s="12" t="s">
        <v>76</v>
      </c>
      <c r="AD271" s="12" t="s">
        <v>77</v>
      </c>
      <c r="AE271" s="12" t="s">
        <v>119</v>
      </c>
      <c r="AF271" s="12" t="s">
        <v>82</v>
      </c>
      <c r="AG271" s="12" t="s">
        <v>84</v>
      </c>
      <c r="AI271" s="16" t="s">
        <v>120</v>
      </c>
      <c r="AJ271" s="16" t="s">
        <v>121</v>
      </c>
      <c r="AK271" s="12" t="s">
        <v>122</v>
      </c>
      <c r="AL271" s="12" t="s">
        <v>123</v>
      </c>
      <c r="AM271" s="17" t="s">
        <v>124</v>
      </c>
      <c r="AN271" s="17" t="s">
        <v>125</v>
      </c>
      <c r="AO271" s="12" t="s">
        <v>126</v>
      </c>
      <c r="AP271" s="12" t="s">
        <v>127</v>
      </c>
      <c r="AQ271" s="3" t="s">
        <v>98</v>
      </c>
      <c r="AV271" s="3" t="s">
        <v>99</v>
      </c>
      <c r="AW271" s="3" t="s">
        <v>100</v>
      </c>
      <c r="AX271" s="3" t="s">
        <v>101</v>
      </c>
      <c r="AY271" s="1" t="s">
        <v>102</v>
      </c>
      <c r="AZ271" s="3" t="s">
        <v>128</v>
      </c>
      <c r="BA271" s="3" t="s">
        <v>103</v>
      </c>
      <c r="BB271" s="3" t="s">
        <v>104</v>
      </c>
      <c r="BC271" s="3" t="s">
        <v>129</v>
      </c>
      <c r="BD271" s="3" t="s">
        <v>130</v>
      </c>
      <c r="BE271" s="3" t="s">
        <v>131</v>
      </c>
      <c r="BF271" s="3" t="s">
        <v>132</v>
      </c>
      <c r="BG271" s="3" t="s">
        <v>133</v>
      </c>
      <c r="BH271" s="3" t="s">
        <v>37</v>
      </c>
      <c r="BI271" s="3" t="s">
        <v>134</v>
      </c>
      <c r="BJ271" s="3" t="s">
        <v>135</v>
      </c>
      <c r="BL271" t="s">
        <v>136</v>
      </c>
      <c r="BM271" s="4"/>
      <c r="BN271" t="s">
        <v>137</v>
      </c>
      <c r="BO271" t="s">
        <v>138</v>
      </c>
      <c r="BP271" t="s">
        <v>139</v>
      </c>
      <c r="BQ271" t="s">
        <v>140</v>
      </c>
      <c r="BR271" t="s">
        <v>141</v>
      </c>
      <c r="BS271" t="s">
        <v>142</v>
      </c>
      <c r="BT271" t="s">
        <v>143</v>
      </c>
      <c r="BU271" t="s">
        <v>140</v>
      </c>
      <c r="BV271" s="4"/>
      <c r="BW271" t="s">
        <v>144</v>
      </c>
      <c r="BX271" s="4"/>
      <c r="BY271" s="4"/>
      <c r="BZ271" s="4"/>
      <c r="CA271" t="s">
        <v>145</v>
      </c>
    </row>
    <row r="272" spans="1:79">
      <c r="A272" s="1">
        <v>1.2323999999999999</v>
      </c>
      <c r="B272" s="1">
        <v>46.088000000000001</v>
      </c>
      <c r="C272">
        <f>A272+1</f>
        <v>2.2324000000000002</v>
      </c>
      <c r="D272">
        <f>C272-1</f>
        <v>1.2324000000000002</v>
      </c>
      <c r="E272">
        <f>D272*100000</f>
        <v>123240.00000000001</v>
      </c>
      <c r="F272">
        <f>E272/(0.000134)</f>
        <v>919701492.53731346</v>
      </c>
      <c r="G272">
        <f>1.25*C272/1</f>
        <v>2.7905000000000002</v>
      </c>
      <c r="H272">
        <f t="shared" ref="H272:H285" si="188">(((((C272+1)*100000)/2)*28.02)/(8.314*298))/1000</f>
        <v>1.8278348318434339</v>
      </c>
      <c r="I272">
        <f t="shared" ref="I272:I285" si="189">B272/60000</f>
        <v>7.6813333333333332E-4</v>
      </c>
      <c r="J272">
        <f>I272/51200000</f>
        <v>1.5002604166666667E-11</v>
      </c>
      <c r="K272" s="1">
        <f t="shared" ref="K272:K285" si="190">1-(((J272/J289)^0.25)*1)</f>
        <v>9.0698660521658203E-2</v>
      </c>
      <c r="L272">
        <f>K272*10^-6</f>
        <v>9.0698660521658205E-8</v>
      </c>
      <c r="M272">
        <f>1-K272</f>
        <v>0.9093013394783418</v>
      </c>
      <c r="N272">
        <f>M272*10^-6</f>
        <v>9.0930133947834175E-7</v>
      </c>
      <c r="O272">
        <f>F272*(N272/2)</f>
        <v>418.14289954220465</v>
      </c>
      <c r="P272">
        <f t="shared" ref="P272:P285" si="191">(((O272*N272)+(0.5*(N272^2)*(18620+F272))))</f>
        <v>7.6044349507146957E-4</v>
      </c>
      <c r="Q272">
        <f>(((0.25*(((1*10^-6)^2)-(N272^2)))-(0.5*(N272^2)*(LN(1/M272)))))</f>
        <v>3.9858450931009104E-15</v>
      </c>
      <c r="R272">
        <f>(0.0625*(18620+F272)*((((1*10^-6)^2)-(N272^2))^2))</f>
        <v>1.7237981175581851E-18</v>
      </c>
      <c r="S272">
        <f t="shared" ref="S272:S285" si="192">((2*PI()*1900)/(0.8))*((P272*Q272)-R272)</f>
        <v>1.9506954024407085E-14</v>
      </c>
      <c r="T272">
        <f t="shared" ref="T272:T285" si="193">S272/1900</f>
        <v>1.0266817907582676E-17</v>
      </c>
      <c r="U272">
        <f>(PI()*((0.000001)^2))-(PI()*(N272^2))</f>
        <v>5.4403297396457642E-13</v>
      </c>
      <c r="V272">
        <f t="shared" ref="V272:V285" si="194">T272/U272</f>
        <v>1.887168314957905E-5</v>
      </c>
      <c r="W272">
        <f t="shared" ref="W272:W285" si="195">(T272*1900)/U272</f>
        <v>3.58561979842002E-2</v>
      </c>
      <c r="X272">
        <f t="shared" ref="X272:X285" si="196">(J272)/(PI()*(N272^2))</f>
        <v>5.7756533119698279</v>
      </c>
      <c r="Y272">
        <f t="shared" ref="Y272:Y285" si="197">(2*1900*V272*L272)/(0.8)</f>
        <v>8.1302728214158466E-9</v>
      </c>
      <c r="Z272">
        <f t="shared" ref="Z272:Z285" si="198">(1.25*X272*2*N272)/(0.00001781)</f>
        <v>0.73719950771149423</v>
      </c>
      <c r="AA272">
        <f t="shared" ref="AA272:AA285" si="199">J272*1.25</f>
        <v>1.8753255208333333E-11</v>
      </c>
      <c r="AC272">
        <f t="shared" ref="AC272:AC285" si="200">AA272/(AA272+S272)</f>
        <v>0.99896089057882376</v>
      </c>
      <c r="AD272">
        <f>(AA272+S272)/(PI()*(0.000001)^2)</f>
        <v>5.9755557872554643</v>
      </c>
      <c r="AE272">
        <f>J272+T272</f>
        <v>1.5002614433484575E-11</v>
      </c>
      <c r="AF272">
        <f>16/Z272</f>
        <v>21.70375838918989</v>
      </c>
      <c r="AG272">
        <f>((((0.000134)/(0.00000093))*4*AF272*((AD272*AC272)^2))/(2*1.25))*(2/(1+C272))</f>
        <v>110315.1750588671</v>
      </c>
      <c r="AI272" s="18">
        <f t="shared" ref="AI272:AI285" si="201">J272/AE272</f>
        <v>0.99999931566474942</v>
      </c>
      <c r="AJ272" s="18">
        <f t="shared" ref="AJ272:AJ285" si="202">T272/AE272</f>
        <v>6.8433525057259356E-7</v>
      </c>
      <c r="AK272">
        <f>1/M183</f>
        <v>1.4606118649221036</v>
      </c>
      <c r="AL272">
        <f>1/AJ272</f>
        <v>1461272.087274892</v>
      </c>
      <c r="AM272">
        <f>AL272^0.5</f>
        <v>1208.8308762084512</v>
      </c>
      <c r="AN272">
        <f>AK272^0.5</f>
        <v>1.2085577623440691</v>
      </c>
      <c r="AO272">
        <f t="shared" ref="AO272:AO285" si="203">((0.0174*V272)/(0.00001781*X272))^0.5</f>
        <v>5.6499866843546437E-2</v>
      </c>
      <c r="AP272">
        <f t="shared" ref="AP272:AP285" si="204">16/Z272</f>
        <v>21.70375838918989</v>
      </c>
      <c r="AQ272">
        <f>(AG272/0.000134)*(AN272^2)*(0.000002/4)</f>
        <v>601.22258795500056</v>
      </c>
      <c r="AV272">
        <f>((AD272*(1-AC272))*0.000002*0.8)/(2*1900*AQ272)</f>
        <v>4.3485121219389757E-15</v>
      </c>
      <c r="AW272">
        <f>(AV272^0.5)*10^6</f>
        <v>6.5943249252209096E-2</v>
      </c>
      <c r="AX272" s="4">
        <f t="shared" ref="AX272:AX285" si="205">AW272/K272</f>
        <v>0.72705868943304086</v>
      </c>
      <c r="AY272" s="1">
        <f t="shared" ref="AY272:AY285" si="206">1-(((J272/J289)^0.25)*1)</f>
        <v>9.0698660521658203E-2</v>
      </c>
      <c r="AZ272">
        <f t="shared" ref="AZ272:AZ285" si="207">LOG(AC272)</f>
        <v>-4.5151411464360941E-4</v>
      </c>
      <c r="BA272">
        <f t="shared" ref="BA272:BA285" si="208">LOG(AY272)</f>
        <v>-1.0423991267474908</v>
      </c>
      <c r="BB272">
        <f t="shared" ref="BB272:BB285" si="209">LOG(AW272)</f>
        <v>-1.1808296574728405</v>
      </c>
      <c r="BC272">
        <f>1-AW272</f>
        <v>0.93405675074779093</v>
      </c>
      <c r="BD272">
        <f>BC272*10^-6</f>
        <v>9.3405675074779087E-7</v>
      </c>
      <c r="BE272">
        <f>(51200000*PI()*(BD272^2))/((PI()*((0.0185)^2))/4)</f>
        <v>0.52207515088055001</v>
      </c>
      <c r="BF272">
        <f>(BE272*(BD272^2))/8</f>
        <v>5.6936342174614447E-14</v>
      </c>
      <c r="BG272">
        <f>BF272/(0.0000000000009869233)</f>
        <v>5.7690746762807651E-2</v>
      </c>
      <c r="BH272">
        <f>LOG(BG272)</f>
        <v>-1.2388938393939528</v>
      </c>
      <c r="BI272">
        <f t="shared" ref="BI272:BI285" si="210">LOG(E272)</f>
        <v>5.090751689644903</v>
      </c>
      <c r="BJ272">
        <f>LOG(BD272)</f>
        <v>-6.0296267364167306</v>
      </c>
      <c r="BL272">
        <f t="shared" ref="BL272:BL285" si="211">((K272-AW272)/K272)*100</f>
        <v>27.294131056695914</v>
      </c>
      <c r="BM272" s="4"/>
      <c r="BN272">
        <f>(((BD272^4)*PI())/(8*0.00001781*0.000134))*E272</f>
        <v>1.5436040588141683E-11</v>
      </c>
      <c r="BO272">
        <f>BN272*60000</f>
        <v>9.2616243528850103E-7</v>
      </c>
      <c r="BP272">
        <f>BO272*51200000</f>
        <v>47.419516686771253</v>
      </c>
      <c r="BQ272">
        <f>LOG(BP272)</f>
        <v>1.6759571232115924</v>
      </c>
      <c r="BR272">
        <f>LOG(B272)</f>
        <v>1.6635878622184703</v>
      </c>
      <c r="BS272">
        <f>((BF272*0.0002688)/(0.00001781*0.000134))*E272</f>
        <v>7.9031786469966605E-4</v>
      </c>
      <c r="BT272">
        <f>BS272*60000</f>
        <v>47.41907188197996</v>
      </c>
      <c r="BU272">
        <f>LOG(BT272)</f>
        <v>1.6759530494211807</v>
      </c>
      <c r="BV272" s="4"/>
      <c r="BW272" s="4">
        <f>((BP272-B272)/(B272))*100</f>
        <v>2.8890745677209946</v>
      </c>
      <c r="BX272" s="4"/>
      <c r="BY272" s="4"/>
      <c r="BZ272" s="4"/>
      <c r="CA272" s="4">
        <f>BP272/B272</f>
        <v>1.0288907456772098</v>
      </c>
    </row>
    <row r="273" spans="1:79">
      <c r="A273">
        <v>1.2519</v>
      </c>
      <c r="B273">
        <v>47.828000000000003</v>
      </c>
      <c r="C273">
        <f>A273+1</f>
        <v>2.2519</v>
      </c>
      <c r="D273">
        <f>C273-1</f>
        <v>1.2519</v>
      </c>
      <c r="E273">
        <f>D273*100000</f>
        <v>125190</v>
      </c>
      <c r="F273">
        <f>E273/(0.000134)</f>
        <v>934253731.34328353</v>
      </c>
      <c r="G273">
        <f>1.25*C273/1</f>
        <v>2.8148749999999998</v>
      </c>
      <c r="H273">
        <f t="shared" si="188"/>
        <v>1.8388615547802447</v>
      </c>
      <c r="I273">
        <f t="shared" si="189"/>
        <v>7.9713333333333337E-4</v>
      </c>
      <c r="J273">
        <f>I273/51200000</f>
        <v>1.5569010416666667E-11</v>
      </c>
      <c r="K273" s="1">
        <f t="shared" si="190"/>
        <v>8.5851114474405188E-2</v>
      </c>
      <c r="L273">
        <f>K273*10^-6</f>
        <v>8.585111447440519E-8</v>
      </c>
      <c r="M273">
        <f>1-K273</f>
        <v>0.91414888552559481</v>
      </c>
      <c r="N273">
        <f>M273*10^-6</f>
        <v>9.1414888552559479E-7</v>
      </c>
      <c r="O273">
        <f>F273*(N273/2)</f>
        <v>427.02350365279557</v>
      </c>
      <c r="P273">
        <f t="shared" si="191"/>
        <v>7.8073389998567716E-4</v>
      </c>
      <c r="Q273">
        <f>(((0.25*(((1*10^-6)^2)-(N273^2)))-(0.5*(N273^2)*(LN(1/M273)))))</f>
        <v>3.5774025249179005E-15</v>
      </c>
      <c r="R273">
        <f>(0.0625*(18620+F273)*((((1*10^-6)^2)-(N273^2))^2))</f>
        <v>1.5768733678063693E-18</v>
      </c>
      <c r="S273">
        <f t="shared" si="192"/>
        <v>1.814772026527234E-14</v>
      </c>
      <c r="T273">
        <f t="shared" si="193"/>
        <v>9.55143171856439E-18</v>
      </c>
      <c r="U273">
        <f>(PI()*((0.000001)^2))-(PI()*(N273^2))</f>
        <v>5.1626362304508679E-13</v>
      </c>
      <c r="V273">
        <f t="shared" si="194"/>
        <v>1.8501074436015871E-5</v>
      </c>
      <c r="W273">
        <f t="shared" si="195"/>
        <v>3.5152041428430154E-2</v>
      </c>
      <c r="X273">
        <f t="shared" si="196"/>
        <v>5.9303082529950126</v>
      </c>
      <c r="Y273">
        <f t="shared" si="197"/>
        <v>7.5446048317029779E-9</v>
      </c>
      <c r="Z273">
        <f t="shared" si="198"/>
        <v>0.76097482878981304</v>
      </c>
      <c r="AA273">
        <f t="shared" si="199"/>
        <v>1.9461263020833334E-11</v>
      </c>
      <c r="AC273">
        <f t="shared" si="200"/>
        <v>0.99906836400204946</v>
      </c>
      <c r="AD273">
        <f>(AA273+S273)/(PI()*(0.000001)^2)</f>
        <v>6.200489015926407</v>
      </c>
      <c r="AE273">
        <f>J273+T273</f>
        <v>1.5569019968098384E-11</v>
      </c>
      <c r="AF273">
        <f>16/Z273</f>
        <v>21.025662603643518</v>
      </c>
      <c r="AG273">
        <f>((((0.000134)/(0.00000093))*4*AF273*((AD273*AC273)^2))/(2*1.25))*(2/(1+C273))</f>
        <v>114400.16114747053</v>
      </c>
      <c r="AI273" s="18">
        <f t="shared" si="201"/>
        <v>0.99999938651040732</v>
      </c>
      <c r="AJ273" s="18">
        <f t="shared" si="202"/>
        <v>6.1348959267415032E-7</v>
      </c>
      <c r="AK273">
        <f t="shared" ref="AK273:AK285" si="212">1/M184</f>
        <v>1.4278585480888357</v>
      </c>
      <c r="AL273">
        <f>1/AJ273</f>
        <v>1630019.5014573643</v>
      </c>
      <c r="AM273">
        <f>AL273^0.5</f>
        <v>1276.7221708176623</v>
      </c>
      <c r="AN273">
        <f>AK273^0.5</f>
        <v>1.1949303528192912</v>
      </c>
      <c r="AO273">
        <f t="shared" si="203"/>
        <v>5.5208062431197011E-2</v>
      </c>
      <c r="AP273">
        <f t="shared" si="204"/>
        <v>21.025662603643518</v>
      </c>
      <c r="AQ273">
        <f>(AG273/0.000134)*(AN273^2)*(0.000002/4)</f>
        <v>609.50465670580638</v>
      </c>
      <c r="AV273">
        <f>((AD273*(1-AC273))*0.000002*0.8)/(2*1900*AQ273)</f>
        <v>3.9905390185668682E-15</v>
      </c>
      <c r="AW273">
        <f>(AV273^0.5)*10^6</f>
        <v>6.3170713297910991E-2</v>
      </c>
      <c r="AX273" s="4">
        <f t="shared" si="205"/>
        <v>0.73581704424750471</v>
      </c>
      <c r="AY273" s="1">
        <f t="shared" si="206"/>
        <v>8.5851114474405188E-2</v>
      </c>
      <c r="AZ273">
        <f t="shared" si="207"/>
        <v>-4.0479296219183365E-4</v>
      </c>
      <c r="BA273">
        <f t="shared" si="208"/>
        <v>-1.0662540626819488</v>
      </c>
      <c r="BB273">
        <f t="shared" si="209"/>
        <v>-1.1994842192019162</v>
      </c>
      <c r="BC273">
        <f>1-AW273</f>
        <v>0.93682928670208898</v>
      </c>
      <c r="BD273">
        <f>BC273*10^-6</f>
        <v>9.3682928670208889E-7</v>
      </c>
      <c r="BE273">
        <f>(51200000*PI()*(BD273^2))/((PI()*((0.0185)^2))/4)</f>
        <v>0.52517907443149192</v>
      </c>
      <c r="BF273">
        <f>(BE273*(BD273^2))/8</f>
        <v>5.7615368567224678E-14</v>
      </c>
      <c r="BG273">
        <f>BF273/(0.0000000000009869233)</f>
        <v>5.8378770231916371E-2</v>
      </c>
      <c r="BH273">
        <f>LOG(BG273)</f>
        <v>-1.2337450578084019</v>
      </c>
      <c r="BI273">
        <f t="shared" si="210"/>
        <v>5.097569639431371</v>
      </c>
      <c r="BJ273">
        <f>LOG(BD273)</f>
        <v>-6.0283395410203431</v>
      </c>
      <c r="BL273">
        <f t="shared" si="211"/>
        <v>26.418295575249534</v>
      </c>
      <c r="BM273" s="4"/>
      <c r="BN273">
        <f>(((BD273^4)*PI())/(8*0.00001781*0.000134))*E273</f>
        <v>1.5867285761465959E-11</v>
      </c>
      <c r="BO273">
        <f>BN273*60000</f>
        <v>9.5203714568795753E-7</v>
      </c>
      <c r="BP273">
        <f>BO273*51200000</f>
        <v>48.744301859223427</v>
      </c>
      <c r="BQ273">
        <f>LOG(BP273)</f>
        <v>1.6879238545836113</v>
      </c>
      <c r="BR273">
        <f>LOG(B273)</f>
        <v>1.679682220572482</v>
      </c>
      <c r="BS273">
        <f>((BF273*0.0002688)/(0.00001781*0.000134))*E273</f>
        <v>8.1239741046125935E-4</v>
      </c>
      <c r="BT273">
        <f>BS273*60000</f>
        <v>48.743844627675564</v>
      </c>
      <c r="BU273">
        <f>LOG(BT273)</f>
        <v>1.6879197807932</v>
      </c>
      <c r="BV273" s="4"/>
      <c r="BW273" s="4">
        <f>((BP273-B273)/(B273))*100</f>
        <v>1.9158272543769834</v>
      </c>
      <c r="BX273" s="4"/>
      <c r="BY273" s="4"/>
      <c r="BZ273" s="4"/>
      <c r="CA273" s="4">
        <f>BP273/B273</f>
        <v>1.0191582725437698</v>
      </c>
    </row>
    <row r="274" spans="1:79">
      <c r="A274">
        <v>1.2727999999999999</v>
      </c>
      <c r="B274">
        <v>49.258000000000003</v>
      </c>
      <c r="C274">
        <f t="shared" ref="C274:C285" si="213">A274+1</f>
        <v>2.2728000000000002</v>
      </c>
      <c r="D274">
        <f t="shared" ref="D274:D285" si="214">C274-1</f>
        <v>1.2728000000000002</v>
      </c>
      <c r="E274">
        <f t="shared" ref="E274:E285" si="215">D274*100000</f>
        <v>127280.00000000001</v>
      </c>
      <c r="F274">
        <f t="shared" ref="F274:F285" si="216">E274/(0.000134)</f>
        <v>949850746.26865685</v>
      </c>
      <c r="G274">
        <f t="shared" ref="G274:G285" si="217">1.25*C274/1</f>
        <v>2.8410000000000002</v>
      </c>
      <c r="H274">
        <f t="shared" si="188"/>
        <v>1.8506799398766209</v>
      </c>
      <c r="I274">
        <f t="shared" si="189"/>
        <v>8.2096666666666676E-4</v>
      </c>
      <c r="J274">
        <f t="shared" ref="J274:J285" si="218">I274/51200000</f>
        <v>1.6034505208333336E-11</v>
      </c>
      <c r="K274" s="1">
        <f t="shared" si="190"/>
        <v>8.4038413677360868E-2</v>
      </c>
      <c r="L274">
        <f t="shared" ref="L274:L285" si="219">K274*10^-6</f>
        <v>8.403841367736087E-8</v>
      </c>
      <c r="M274">
        <f t="shared" ref="M274:M285" si="220">1-K274</f>
        <v>0.91596158632263913</v>
      </c>
      <c r="N274">
        <f t="shared" ref="N274:N285" si="221">M274*10^-6</f>
        <v>9.1596158632263907E-7</v>
      </c>
      <c r="O274">
        <f t="shared" ref="O274:O285" si="222">F274*(N274/2)</f>
        <v>435.01339816099073</v>
      </c>
      <c r="P274">
        <f t="shared" si="191"/>
        <v>7.9691893545847888E-4</v>
      </c>
      <c r="Q274">
        <f t="shared" ref="Q274:Q285" si="223">(((0.25*(((1*10^-6)^2)-(N274^2)))-(0.5*(N274^2)*(LN(1/M274)))))</f>
        <v>3.4301566941524182E-15</v>
      </c>
      <c r="R274">
        <f t="shared" ref="R274:R285" si="224">(0.0625*(18620+F274)*((((1*10^-6)^2)-(N274^2))^2))</f>
        <v>1.5391224966339584E-18</v>
      </c>
      <c r="S274">
        <f t="shared" si="192"/>
        <v>1.7824023970846694E-14</v>
      </c>
      <c r="T274">
        <f t="shared" si="193"/>
        <v>9.38106524781405E-18</v>
      </c>
      <c r="U274">
        <f t="shared" ref="U274:U285" si="225">(PI()*((0.000001)^2))-(PI()*(N274^2))</f>
        <v>5.0584156939550914E-13</v>
      </c>
      <c r="V274">
        <f t="shared" si="194"/>
        <v>1.8545461297347728E-5</v>
      </c>
      <c r="W274">
        <f t="shared" si="195"/>
        <v>3.5236376464960681E-2</v>
      </c>
      <c r="X274">
        <f t="shared" si="196"/>
        <v>6.0834671773396547</v>
      </c>
      <c r="Y274">
        <f t="shared" si="197"/>
        <v>7.4030229546339709E-9</v>
      </c>
      <c r="Z274">
        <f t="shared" si="198"/>
        <v>0.78217605925010358</v>
      </c>
      <c r="AA274">
        <f t="shared" si="199"/>
        <v>2.004313151041667E-11</v>
      </c>
      <c r="AC274">
        <f t="shared" si="200"/>
        <v>0.9991115067305596</v>
      </c>
      <c r="AD274">
        <f t="shared" ref="AD274:AD285" si="226">(AA274+S274)/(PI()*(0.000001)^2)</f>
        <v>6.3856004728889761</v>
      </c>
      <c r="AE274">
        <f t="shared" ref="AE274:AE285" si="227">J274+T274</f>
        <v>1.6034514589398582E-11</v>
      </c>
      <c r="AF274">
        <f t="shared" ref="AF274:AF285" si="228">16/Z274</f>
        <v>20.455752654127124</v>
      </c>
      <c r="AG274">
        <f t="shared" ref="AG274:AG285" si="229">((((0.000134)/(0.00000093))*4*AF274*((AD274*AC274)^2))/(2*1.25))*(2/(1+C274))</f>
        <v>117300.32948867633</v>
      </c>
      <c r="AI274" s="18">
        <f t="shared" si="201"/>
        <v>0.99999941494547939</v>
      </c>
      <c r="AJ274" s="18">
        <f t="shared" si="202"/>
        <v>5.8505452070351147E-7</v>
      </c>
      <c r="AK274">
        <f t="shared" si="212"/>
        <v>1.4213326520157477</v>
      </c>
      <c r="AL274">
        <f t="shared" ref="AL274:AL285" si="230">1/AJ274</f>
        <v>1709242.4117969866</v>
      </c>
      <c r="AM274">
        <f t="shared" ref="AM274:AM285" si="231">AL274^0.5</f>
        <v>1307.3799798822783</v>
      </c>
      <c r="AN274">
        <f t="shared" ref="AN274:AN285" si="232">AK274^0.5</f>
        <v>1.192196566014073</v>
      </c>
      <c r="AO274">
        <f t="shared" si="203"/>
        <v>5.4574014255459928E-2</v>
      </c>
      <c r="AP274">
        <f t="shared" si="204"/>
        <v>20.455752654127124</v>
      </c>
      <c r="AQ274">
        <f t="shared" ref="AQ274:AQ285" si="233">(AG274/0.000134)*(AN274^2)*(0.000002/4)</f>
        <v>622.09995669575142</v>
      </c>
      <c r="AV274">
        <f t="shared" ref="AV274:AV285" si="234">((AD274*(1-AC274))*0.000002*0.8)/(2*1900*AQ274)</f>
        <v>3.8400077404599803E-15</v>
      </c>
      <c r="AW274">
        <f t="shared" ref="AW274:AW285" si="235">(AV274^0.5)*10^6</f>
        <v>6.19677959948551E-2</v>
      </c>
      <c r="AX274" s="4">
        <f t="shared" si="205"/>
        <v>0.73737465146309189</v>
      </c>
      <c r="AY274" s="1">
        <f t="shared" si="206"/>
        <v>8.4038413677360868E-2</v>
      </c>
      <c r="AZ274">
        <f t="shared" si="207"/>
        <v>-3.8603924616901678E-4</v>
      </c>
      <c r="BA274">
        <f t="shared" si="208"/>
        <v>-1.0755221540013402</v>
      </c>
      <c r="BB274">
        <f t="shared" si="209"/>
        <v>-1.2078339501032569</v>
      </c>
      <c r="BC274">
        <f t="shared" ref="BC274:BC285" si="236">1-AW274</f>
        <v>0.93803220400514487</v>
      </c>
      <c r="BD274">
        <f t="shared" ref="BD274:BD285" si="237">BC274*10^-6</f>
        <v>9.3803220400514487E-7</v>
      </c>
      <c r="BE274">
        <f t="shared" ref="BE274:BE285" si="238">(51200000*PI()*(BD274^2))/((PI()*((0.0185)^2))/4)</f>
        <v>0.52652863212784096</v>
      </c>
      <c r="BF274">
        <f t="shared" ref="BF274:BF285" si="239">(BE274*(BD274^2))/8</f>
        <v>5.7911858553561175E-14</v>
      </c>
      <c r="BG274">
        <f t="shared" ref="BG274:BG285" si="240">BF274/(0.0000000000009869233)</f>
        <v>5.8679188700440213E-2</v>
      </c>
      <c r="BH274">
        <f t="shared" ref="BH274:BH285" si="241">LOG(BG274)</f>
        <v>-1.2315158993508701</v>
      </c>
      <c r="BI274">
        <f t="shared" si="210"/>
        <v>5.1047601666385249</v>
      </c>
      <c r="BJ274">
        <f t="shared" ref="BJ274:BJ285" si="242">LOG(BD274)</f>
        <v>-6.0277822514059602</v>
      </c>
      <c r="BL274">
        <f t="shared" si="211"/>
        <v>26.262534853690816</v>
      </c>
      <c r="BM274" s="4"/>
      <c r="BN274">
        <f t="shared" ref="BN274:BN285" si="243">(((BD274^4)*PI())/(8*0.00001781*0.000134))*E274</f>
        <v>1.6215200717334909E-11</v>
      </c>
      <c r="BO274">
        <f t="shared" ref="BO274:BO285" si="244">BN274*60000</f>
        <v>9.7291204304009451E-7</v>
      </c>
      <c r="BP274">
        <f t="shared" ref="BP274:BP285" si="245">BO274*51200000</f>
        <v>49.813096603652838</v>
      </c>
      <c r="BQ274">
        <f t="shared" ref="BQ274:BQ285" si="246">LOG(BP274)</f>
        <v>1.6973435402482968</v>
      </c>
      <c r="BR274">
        <f t="shared" ref="BR274:BR285" si="247">LOG(B274)</f>
        <v>1.6924767744012366</v>
      </c>
      <c r="BS274">
        <f t="shared" ref="BS274:BS285" si="248">((BF274*0.0002688)/(0.00001781*0.000134))*E274</f>
        <v>8.3021048910985142E-4</v>
      </c>
      <c r="BT274">
        <f t="shared" ref="BT274:BT285" si="249">BS274*60000</f>
        <v>49.812629346591088</v>
      </c>
      <c r="BU274">
        <f t="shared" ref="BU274:BU285" si="250">LOG(BT274)</f>
        <v>1.6973394664578856</v>
      </c>
      <c r="BV274" s="4"/>
      <c r="BW274" s="4">
        <f t="shared" ref="BW274:BW285" si="251">((BP274-B274)/(B274))*100</f>
        <v>1.1269166503975701</v>
      </c>
      <c r="BX274" s="4"/>
      <c r="BY274" s="4"/>
      <c r="BZ274" s="4"/>
      <c r="CA274" s="4">
        <f t="shared" ref="CA274:CA285" si="252">BP274/B274</f>
        <v>1.0112691665039757</v>
      </c>
    </row>
    <row r="275" spans="1:79">
      <c r="A275">
        <v>1.2926</v>
      </c>
      <c r="B275">
        <v>50.552</v>
      </c>
      <c r="C275">
        <f t="shared" si="213"/>
        <v>2.2926000000000002</v>
      </c>
      <c r="D275">
        <f t="shared" si="214"/>
        <v>1.2926000000000002</v>
      </c>
      <c r="E275">
        <f t="shared" si="215"/>
        <v>129260.00000000001</v>
      </c>
      <c r="F275">
        <f t="shared" si="216"/>
        <v>964626865.67164183</v>
      </c>
      <c r="G275">
        <f t="shared" si="217"/>
        <v>2.8657500000000002</v>
      </c>
      <c r="H275">
        <f t="shared" si="188"/>
        <v>1.8618763047047671</v>
      </c>
      <c r="I275">
        <f t="shared" si="189"/>
        <v>8.4253333333333329E-4</v>
      </c>
      <c r="J275">
        <f t="shared" si="218"/>
        <v>1.6455729166666667E-11</v>
      </c>
      <c r="K275" s="1">
        <f t="shared" si="190"/>
        <v>8.250041774157002E-2</v>
      </c>
      <c r="L275">
        <f t="shared" si="219"/>
        <v>8.2500417741570021E-8</v>
      </c>
      <c r="M275">
        <f t="shared" si="220"/>
        <v>0.91749958225842998</v>
      </c>
      <c r="N275">
        <f t="shared" si="221"/>
        <v>9.1749958225842993E-7</v>
      </c>
      <c r="O275">
        <f t="shared" si="222"/>
        <v>442.52237314449496</v>
      </c>
      <c r="P275">
        <f t="shared" si="191"/>
        <v>8.1203602220921724E-4</v>
      </c>
      <c r="Q275">
        <f t="shared" si="223"/>
        <v>3.3075753988250974E-15</v>
      </c>
      <c r="R275">
        <f t="shared" si="224"/>
        <v>1.5087962806719868E-18</v>
      </c>
      <c r="S275">
        <f t="shared" si="192"/>
        <v>1.7564964731161456E-14</v>
      </c>
      <c r="T275">
        <f t="shared" si="193"/>
        <v>9.2447182795586618E-18</v>
      </c>
      <c r="U275">
        <f t="shared" si="225"/>
        <v>4.9698273104928221E-13</v>
      </c>
      <c r="V275">
        <f t="shared" si="194"/>
        <v>1.8601689157368186E-5</v>
      </c>
      <c r="W275">
        <f t="shared" si="195"/>
        <v>3.5343209398999549E-2</v>
      </c>
      <c r="X275">
        <f t="shared" si="196"/>
        <v>6.2223653577079077</v>
      </c>
      <c r="Y275">
        <f t="shared" si="197"/>
        <v>7.2895738493631182E-9</v>
      </c>
      <c r="Z275">
        <f t="shared" si="198"/>
        <v>0.80137810448572866</v>
      </c>
      <c r="AA275">
        <f t="shared" si="199"/>
        <v>2.0569661458333334E-11</v>
      </c>
      <c r="AC275">
        <f t="shared" si="200"/>
        <v>0.99914680276156664</v>
      </c>
      <c r="AD275">
        <f t="shared" si="226"/>
        <v>6.553117699565588</v>
      </c>
      <c r="AE275">
        <f t="shared" si="227"/>
        <v>1.6455738411384948E-11</v>
      </c>
      <c r="AF275">
        <f t="shared" si="228"/>
        <v>19.965606634920153</v>
      </c>
      <c r="AG275">
        <f t="shared" si="229"/>
        <v>119858.79500813801</v>
      </c>
      <c r="AI275" s="18">
        <f t="shared" si="201"/>
        <v>0.99999943820702242</v>
      </c>
      <c r="AJ275" s="18">
        <f t="shared" si="202"/>
        <v>5.617929775282936E-7</v>
      </c>
      <c r="AK275">
        <f t="shared" si="212"/>
        <v>1.4118161227601462</v>
      </c>
      <c r="AL275">
        <f t="shared" si="230"/>
        <v>1780015.1301279606</v>
      </c>
      <c r="AM275">
        <f t="shared" si="231"/>
        <v>1334.1720766557664</v>
      </c>
      <c r="AN275">
        <f t="shared" si="232"/>
        <v>1.1881986882504736</v>
      </c>
      <c r="AO275">
        <f t="shared" si="203"/>
        <v>5.4043205644479779E-2</v>
      </c>
      <c r="AP275">
        <f t="shared" si="204"/>
        <v>19.965606634920153</v>
      </c>
      <c r="AQ275">
        <f t="shared" si="233"/>
        <v>631.41260913094243</v>
      </c>
      <c r="AV275">
        <f t="shared" si="234"/>
        <v>3.7283832230308488E-15</v>
      </c>
      <c r="AW275">
        <f t="shared" si="235"/>
        <v>6.1060488231186372E-2</v>
      </c>
      <c r="AX275" s="4">
        <f t="shared" si="205"/>
        <v>0.74012338243494047</v>
      </c>
      <c r="AY275" s="1">
        <f t="shared" si="206"/>
        <v>8.250041774157002E-2</v>
      </c>
      <c r="AZ275">
        <f t="shared" si="207"/>
        <v>-3.706970139578696E-4</v>
      </c>
      <c r="BA275">
        <f t="shared" si="208"/>
        <v>-1.0835438523906882</v>
      </c>
      <c r="BB275">
        <f t="shared" si="209"/>
        <v>-1.2142397274650931</v>
      </c>
      <c r="BC275">
        <f t="shared" si="236"/>
        <v>0.93893951176881363</v>
      </c>
      <c r="BD275">
        <f t="shared" si="237"/>
        <v>9.3893951176881357E-7</v>
      </c>
      <c r="BE275">
        <f t="shared" si="238"/>
        <v>0.52754769000608548</v>
      </c>
      <c r="BF275">
        <f t="shared" si="239"/>
        <v>5.8136243866105073E-14</v>
      </c>
      <c r="BG275">
        <f t="shared" si="240"/>
        <v>5.8906547110707662E-2</v>
      </c>
      <c r="BH275">
        <f t="shared" si="241"/>
        <v>-1.2298364332938003</v>
      </c>
      <c r="BI275">
        <f t="shared" si="210"/>
        <v>5.1114641515866541</v>
      </c>
      <c r="BJ275">
        <f t="shared" si="242"/>
        <v>-6.0273623848916928</v>
      </c>
      <c r="BL275">
        <f t="shared" si="211"/>
        <v>25.987661756505958</v>
      </c>
      <c r="BM275" s="4"/>
      <c r="BN275">
        <f t="shared" si="243"/>
        <v>1.6531253280360499E-11</v>
      </c>
      <c r="BO275">
        <f t="shared" si="244"/>
        <v>9.9187519682163001E-7</v>
      </c>
      <c r="BP275">
        <f t="shared" si="245"/>
        <v>50.784010077267453</v>
      </c>
      <c r="BQ275">
        <f t="shared" si="246"/>
        <v>1.7057269912534958</v>
      </c>
      <c r="BR275">
        <f t="shared" si="247"/>
        <v>1.7037383423559316</v>
      </c>
      <c r="BS275">
        <f t="shared" si="248"/>
        <v>8.46392228547303E-4</v>
      </c>
      <c r="BT275">
        <f t="shared" si="249"/>
        <v>50.783533712838178</v>
      </c>
      <c r="BU275">
        <f t="shared" si="250"/>
        <v>1.7057229174630841</v>
      </c>
      <c r="BV275" s="4"/>
      <c r="BW275" s="4">
        <f t="shared" si="251"/>
        <v>0.45895330999258904</v>
      </c>
      <c r="BX275" s="4"/>
      <c r="BY275" s="4"/>
      <c r="BZ275" s="4"/>
      <c r="CA275" s="4">
        <f t="shared" si="252"/>
        <v>1.0045895330999259</v>
      </c>
    </row>
    <row r="276" spans="1:79">
      <c r="A276">
        <v>1.3110999999999999</v>
      </c>
      <c r="B276">
        <v>51.655999999999999</v>
      </c>
      <c r="C276">
        <f t="shared" si="213"/>
        <v>2.3110999999999997</v>
      </c>
      <c r="D276">
        <f t="shared" si="214"/>
        <v>1.3110999999999997</v>
      </c>
      <c r="E276">
        <f t="shared" si="215"/>
        <v>131109.99999999997</v>
      </c>
      <c r="F276">
        <f t="shared" si="216"/>
        <v>978432835.82089531</v>
      </c>
      <c r="G276">
        <f t="shared" si="217"/>
        <v>2.8888749999999996</v>
      </c>
      <c r="H276">
        <f t="shared" si="188"/>
        <v>1.8723375546704595</v>
      </c>
      <c r="I276">
        <f t="shared" si="189"/>
        <v>8.609333333333333E-4</v>
      </c>
      <c r="J276">
        <f t="shared" si="218"/>
        <v>1.6815104166666668E-11</v>
      </c>
      <c r="K276" s="1">
        <f t="shared" si="190"/>
        <v>8.2560441288441533E-2</v>
      </c>
      <c r="L276">
        <f t="shared" si="219"/>
        <v>8.2560441288441524E-8</v>
      </c>
      <c r="M276">
        <f t="shared" si="220"/>
        <v>0.91743955871155847</v>
      </c>
      <c r="N276">
        <f t="shared" si="221"/>
        <v>9.1743955871155842E-7</v>
      </c>
      <c r="O276">
        <f t="shared" si="222"/>
        <v>448.82649456221043</v>
      </c>
      <c r="P276">
        <f t="shared" si="191"/>
        <v>8.2355019840207161E-4</v>
      </c>
      <c r="Q276">
        <f t="shared" si="223"/>
        <v>3.3123188817744254E-15</v>
      </c>
      <c r="R276">
        <f t="shared" si="224"/>
        <v>1.5325218614069995E-18</v>
      </c>
      <c r="S276">
        <f t="shared" si="192"/>
        <v>1.7837524211408239E-14</v>
      </c>
      <c r="T276">
        <f t="shared" si="193"/>
        <v>9.3881706375832834E-18</v>
      </c>
      <c r="U276">
        <f t="shared" si="225"/>
        <v>4.9732874466781883E-13</v>
      </c>
      <c r="V276">
        <f t="shared" si="194"/>
        <v>1.8877192879438189E-5</v>
      </c>
      <c r="W276">
        <f t="shared" si="195"/>
        <v>3.5866666470932562E-2</v>
      </c>
      <c r="X276">
        <f t="shared" si="196"/>
        <v>6.3590869693191578</v>
      </c>
      <c r="Y276">
        <f t="shared" si="197"/>
        <v>7.402919528463855E-9</v>
      </c>
      <c r="Z276">
        <f t="shared" si="198"/>
        <v>0.81893289485409737</v>
      </c>
      <c r="AA276">
        <f t="shared" si="199"/>
        <v>2.1018880208333336E-11</v>
      </c>
      <c r="AC276">
        <f t="shared" si="200"/>
        <v>0.99915207664816397</v>
      </c>
      <c r="AD276">
        <f t="shared" si="226"/>
        <v>6.6961952271268483</v>
      </c>
      <c r="AE276">
        <f t="shared" si="227"/>
        <v>1.6815113554837305E-11</v>
      </c>
      <c r="AF276">
        <f t="shared" si="228"/>
        <v>19.537620360030342</v>
      </c>
      <c r="AG276">
        <f t="shared" si="229"/>
        <v>121784.10310060627</v>
      </c>
      <c r="AI276" s="18">
        <f t="shared" si="201"/>
        <v>0.9999994416825907</v>
      </c>
      <c r="AJ276" s="18">
        <f t="shared" si="202"/>
        <v>5.5831740933337508E-7</v>
      </c>
      <c r="AK276">
        <f t="shared" si="212"/>
        <v>1.4112072162652529</v>
      </c>
      <c r="AL276">
        <f t="shared" si="230"/>
        <v>1791095.8592424856</v>
      </c>
      <c r="AM276">
        <f t="shared" si="231"/>
        <v>1338.3182951908286</v>
      </c>
      <c r="AN276">
        <f t="shared" si="232"/>
        <v>1.1879424296931451</v>
      </c>
      <c r="AO276">
        <f t="shared" si="203"/>
        <v>5.385350680902224E-2</v>
      </c>
      <c r="AP276">
        <f t="shared" si="204"/>
        <v>19.537620360030342</v>
      </c>
      <c r="AQ276">
        <f t="shared" si="233"/>
        <v>641.27837732077285</v>
      </c>
      <c r="AV276">
        <f t="shared" si="234"/>
        <v>3.7279878852092071E-15</v>
      </c>
      <c r="AW276">
        <f t="shared" si="235"/>
        <v>6.1057250881522723E-2</v>
      </c>
      <c r="AX276" s="4">
        <f t="shared" si="205"/>
        <v>0.73954608198140459</v>
      </c>
      <c r="AY276" s="1">
        <f t="shared" si="206"/>
        <v>8.2560441288441533E-2</v>
      </c>
      <c r="AZ276">
        <f t="shared" si="207"/>
        <v>-3.684046443118605E-4</v>
      </c>
      <c r="BA276">
        <f t="shared" si="208"/>
        <v>-1.0832279943914895</v>
      </c>
      <c r="BB276">
        <f t="shared" si="209"/>
        <v>-1.2142627538182744</v>
      </c>
      <c r="BC276">
        <f t="shared" si="236"/>
        <v>0.9389427491184773</v>
      </c>
      <c r="BD276">
        <f t="shared" si="237"/>
        <v>9.3894274911847723E-7</v>
      </c>
      <c r="BE276">
        <f t="shared" si="238"/>
        <v>0.52755132785337944</v>
      </c>
      <c r="BF276">
        <f t="shared" si="239"/>
        <v>5.8137045657149294E-14</v>
      </c>
      <c r="BG276">
        <f t="shared" si="240"/>
        <v>5.8907359525455817E-2</v>
      </c>
      <c r="BH276">
        <f t="shared" si="241"/>
        <v>-1.2298304437251284</v>
      </c>
      <c r="BI276">
        <f t="shared" si="210"/>
        <v>5.1176358173894938</v>
      </c>
      <c r="BJ276">
        <f t="shared" si="242"/>
        <v>-6.0273608874995253</v>
      </c>
      <c r="BL276">
        <f t="shared" si="211"/>
        <v>26.045391801859541</v>
      </c>
      <c r="BM276" s="4"/>
      <c r="BN276">
        <f t="shared" si="243"/>
        <v>1.6768083781888941E-11</v>
      </c>
      <c r="BO276">
        <f t="shared" si="244"/>
        <v>1.0060850269133365E-6</v>
      </c>
      <c r="BP276">
        <f t="shared" si="245"/>
        <v>51.511553377962827</v>
      </c>
      <c r="BQ276">
        <f t="shared" si="246"/>
        <v>1.7119046466250076</v>
      </c>
      <c r="BR276">
        <f t="shared" si="247"/>
        <v>1.7131207733977831</v>
      </c>
      <c r="BS276">
        <f t="shared" si="248"/>
        <v>8.5851783648380339E-4</v>
      </c>
      <c r="BT276">
        <f t="shared" si="249"/>
        <v>51.511070189028203</v>
      </c>
      <c r="BU276">
        <f t="shared" si="250"/>
        <v>1.7119005728345962</v>
      </c>
      <c r="BV276" s="4"/>
      <c r="BW276" s="4">
        <f t="shared" si="251"/>
        <v>-0.27963183761261479</v>
      </c>
      <c r="BX276" s="4"/>
      <c r="BY276" s="4"/>
      <c r="BZ276" s="4"/>
      <c r="CA276" s="4">
        <f t="shared" si="252"/>
        <v>0.99720368162387385</v>
      </c>
    </row>
    <row r="277" spans="1:79">
      <c r="A277">
        <v>1.3326</v>
      </c>
      <c r="B277">
        <v>53.100999999999999</v>
      </c>
      <c r="C277">
        <f t="shared" si="213"/>
        <v>2.3326000000000002</v>
      </c>
      <c r="D277">
        <f t="shared" si="214"/>
        <v>1.3326000000000002</v>
      </c>
      <c r="E277">
        <f t="shared" si="215"/>
        <v>133260.00000000003</v>
      </c>
      <c r="F277">
        <f t="shared" si="216"/>
        <v>994477611.94029868</v>
      </c>
      <c r="G277">
        <f t="shared" si="217"/>
        <v>2.9157500000000001</v>
      </c>
      <c r="H277">
        <f t="shared" si="188"/>
        <v>1.8844952235495069</v>
      </c>
      <c r="I277">
        <f t="shared" si="189"/>
        <v>8.8501666666666661E-4</v>
      </c>
      <c r="J277">
        <f t="shared" si="218"/>
        <v>1.7285481770833332E-11</v>
      </c>
      <c r="K277" s="1">
        <f t="shared" si="190"/>
        <v>8.0270604820547153E-2</v>
      </c>
      <c r="L277">
        <f t="shared" si="219"/>
        <v>8.0270604820547151E-8</v>
      </c>
      <c r="M277">
        <f t="shared" si="220"/>
        <v>0.91972939517945285</v>
      </c>
      <c r="N277">
        <f t="shared" si="221"/>
        <v>9.1972939517945279E-7</v>
      </c>
      <c r="O277">
        <f t="shared" si="222"/>
        <v>457.32514627467873</v>
      </c>
      <c r="P277">
        <f t="shared" si="191"/>
        <v>8.4123863571624301E-4</v>
      </c>
      <c r="Q277">
        <f t="shared" si="223"/>
        <v>3.1336950420947402E-15</v>
      </c>
      <c r="R277">
        <f t="shared" si="224"/>
        <v>1.4759656820435369E-18</v>
      </c>
      <c r="S277">
        <f t="shared" si="192"/>
        <v>1.7313453410721854E-14</v>
      </c>
      <c r="T277">
        <f t="shared" si="193"/>
        <v>9.1123439003799229E-18</v>
      </c>
      <c r="U277">
        <f t="shared" si="225"/>
        <v>4.8411264095599771E-13</v>
      </c>
      <c r="V277">
        <f t="shared" si="194"/>
        <v>1.8822776208415858E-5</v>
      </c>
      <c r="W277">
        <f t="shared" si="195"/>
        <v>3.5763274795990133E-2</v>
      </c>
      <c r="X277">
        <f t="shared" si="196"/>
        <v>6.5044635100385593</v>
      </c>
      <c r="Y277">
        <f t="shared" si="197"/>
        <v>7.1768492455938945E-9</v>
      </c>
      <c r="Z277">
        <f t="shared" si="198"/>
        <v>0.83974540848604495</v>
      </c>
      <c r="AA277">
        <f t="shared" si="199"/>
        <v>2.1606852213541666E-11</v>
      </c>
      <c r="AC277">
        <f t="shared" si="200"/>
        <v>0.99919934698626622</v>
      </c>
      <c r="AD277">
        <f t="shared" si="226"/>
        <v>6.883185712267049</v>
      </c>
      <c r="AE277">
        <f t="shared" si="227"/>
        <v>1.7285490883177234E-11</v>
      </c>
      <c r="AF277">
        <f t="shared" si="228"/>
        <v>19.05339384807829</v>
      </c>
      <c r="AG277">
        <f t="shared" si="229"/>
        <v>124693.62207535084</v>
      </c>
      <c r="AI277" s="18">
        <f t="shared" si="201"/>
        <v>0.99999947283279578</v>
      </c>
      <c r="AJ277" s="18">
        <f t="shared" si="202"/>
        <v>5.271672040999619E-7</v>
      </c>
      <c r="AK277">
        <f t="shared" si="212"/>
        <v>1.3977352459936403</v>
      </c>
      <c r="AL277">
        <f t="shared" si="230"/>
        <v>1896931.357304957</v>
      </c>
      <c r="AM277">
        <f t="shared" si="231"/>
        <v>1377.2913117074968</v>
      </c>
      <c r="AN277">
        <f t="shared" si="232"/>
        <v>1.1822585360206288</v>
      </c>
      <c r="AO277">
        <f t="shared" si="203"/>
        <v>5.317148173004576E-2</v>
      </c>
      <c r="AP277">
        <f t="shared" si="204"/>
        <v>19.05339384807829</v>
      </c>
      <c r="AQ277">
        <f t="shared" si="233"/>
        <v>650.33086016913637</v>
      </c>
      <c r="AV277">
        <f t="shared" si="234"/>
        <v>3.5680904320529591E-15</v>
      </c>
      <c r="AW277">
        <f t="shared" si="235"/>
        <v>5.9733495059748176E-2</v>
      </c>
      <c r="AX277" s="4">
        <f t="shared" si="205"/>
        <v>0.74415155078609774</v>
      </c>
      <c r="AY277" s="1">
        <f t="shared" si="206"/>
        <v>8.0270604820547153E-2</v>
      </c>
      <c r="AZ277">
        <f t="shared" si="207"/>
        <v>-3.4785846133669269E-4</v>
      </c>
      <c r="BA277">
        <f t="shared" si="208"/>
        <v>-1.0954434647018545</v>
      </c>
      <c r="BB277">
        <f t="shared" si="209"/>
        <v>-1.223782073554363</v>
      </c>
      <c r="BC277">
        <f t="shared" si="236"/>
        <v>0.94026650494025188</v>
      </c>
      <c r="BD277">
        <f t="shared" si="237"/>
        <v>9.4026650494025185E-7</v>
      </c>
      <c r="BE277">
        <f t="shared" si="238"/>
        <v>0.52903989874072055</v>
      </c>
      <c r="BF277">
        <f t="shared" si="239"/>
        <v>5.846559457323932E-14</v>
      </c>
      <c r="BG277">
        <f t="shared" si="240"/>
        <v>5.9240261703456913E-2</v>
      </c>
      <c r="BH277">
        <f t="shared" si="241"/>
        <v>-1.2273830315803331</v>
      </c>
      <c r="BI277">
        <f t="shared" si="210"/>
        <v>5.1246998089321174</v>
      </c>
      <c r="BJ277">
        <f t="shared" si="242"/>
        <v>-6.0267490344633261</v>
      </c>
      <c r="BL277">
        <f t="shared" si="211"/>
        <v>25.584844921390225</v>
      </c>
      <c r="BM277" s="4"/>
      <c r="BN277">
        <f t="shared" si="243"/>
        <v>1.7139369393893028E-11</v>
      </c>
      <c r="BO277">
        <f t="shared" si="244"/>
        <v>1.0283621636335817E-6</v>
      </c>
      <c r="BP277">
        <f t="shared" si="245"/>
        <v>52.652142778039384</v>
      </c>
      <c r="BQ277">
        <f t="shared" si="246"/>
        <v>1.7214160503124265</v>
      </c>
      <c r="BR277">
        <f t="shared" si="247"/>
        <v>1.725102699808259</v>
      </c>
      <c r="BS277">
        <f t="shared" si="248"/>
        <v>8.7752748150237152E-4</v>
      </c>
      <c r="BT277">
        <f t="shared" si="249"/>
        <v>52.65164889014229</v>
      </c>
      <c r="BU277">
        <f t="shared" si="250"/>
        <v>1.7214119765220151</v>
      </c>
      <c r="BV277" s="4"/>
      <c r="BW277" s="4">
        <f t="shared" si="251"/>
        <v>-0.8452895839261324</v>
      </c>
      <c r="BX277" s="4"/>
      <c r="BY277" s="4"/>
      <c r="BZ277" s="4"/>
      <c r="CA277" s="4">
        <f t="shared" si="252"/>
        <v>0.99154710416073866</v>
      </c>
    </row>
    <row r="278" spans="1:79">
      <c r="A278">
        <v>1.3514999999999999</v>
      </c>
      <c r="B278">
        <v>54.36</v>
      </c>
      <c r="C278">
        <f t="shared" si="213"/>
        <v>2.3514999999999997</v>
      </c>
      <c r="D278">
        <f t="shared" si="214"/>
        <v>1.3514999999999997</v>
      </c>
      <c r="E278">
        <f t="shared" si="215"/>
        <v>135149.99999999997</v>
      </c>
      <c r="F278">
        <f t="shared" si="216"/>
        <v>1008582089.5522386</v>
      </c>
      <c r="G278">
        <f t="shared" si="217"/>
        <v>2.9393749999999996</v>
      </c>
      <c r="H278">
        <f t="shared" si="188"/>
        <v>1.8951826627036463</v>
      </c>
      <c r="I278">
        <f t="shared" si="189"/>
        <v>9.0600000000000001E-4</v>
      </c>
      <c r="J278">
        <f t="shared" si="218"/>
        <v>1.7695312499999999E-11</v>
      </c>
      <c r="K278" s="1">
        <f t="shared" si="190"/>
        <v>7.96628072079133E-2</v>
      </c>
      <c r="L278">
        <f t="shared" si="219"/>
        <v>7.9662807207913294E-8</v>
      </c>
      <c r="M278">
        <f t="shared" si="220"/>
        <v>0.9203371927920867</v>
      </c>
      <c r="N278">
        <f t="shared" si="221"/>
        <v>9.2033719279208669E-7</v>
      </c>
      <c r="O278">
        <f t="shared" si="222"/>
        <v>464.11780449944212</v>
      </c>
      <c r="P278">
        <f t="shared" si="191"/>
        <v>8.5429764039699212E-4</v>
      </c>
      <c r="Q278">
        <f t="shared" si="223"/>
        <v>3.0870887899012516E-15</v>
      </c>
      <c r="R278">
        <f t="shared" si="224"/>
        <v>1.4752495334067037E-18</v>
      </c>
      <c r="S278">
        <f t="shared" si="192"/>
        <v>1.7340664343824898E-14</v>
      </c>
      <c r="T278">
        <f t="shared" si="193"/>
        <v>9.1266654441183677E-18</v>
      </c>
      <c r="U278">
        <f t="shared" si="225"/>
        <v>4.8059912118234306E-13</v>
      </c>
      <c r="V278">
        <f t="shared" si="194"/>
        <v>1.8990183381246009E-5</v>
      </c>
      <c r="W278">
        <f t="shared" si="195"/>
        <v>3.6081348424367415E-2</v>
      </c>
      <c r="X278">
        <f t="shared" si="196"/>
        <v>6.6498893306180733</v>
      </c>
      <c r="Y278">
        <f t="shared" si="197"/>
        <v>7.1858537583298191E-9</v>
      </c>
      <c r="Z278">
        <f t="shared" si="198"/>
        <v>0.85908765846702484</v>
      </c>
      <c r="AA278">
        <f t="shared" si="199"/>
        <v>2.2119140625000001E-11</v>
      </c>
      <c r="AC278">
        <f t="shared" si="200"/>
        <v>0.99921664766332252</v>
      </c>
      <c r="AD278">
        <f t="shared" si="226"/>
        <v>7.0462608397206452</v>
      </c>
      <c r="AE278">
        <f t="shared" si="227"/>
        <v>1.7695321626665445E-11</v>
      </c>
      <c r="AF278">
        <f t="shared" si="228"/>
        <v>18.624409095284591</v>
      </c>
      <c r="AG278">
        <f t="shared" si="229"/>
        <v>127014.07829770632</v>
      </c>
      <c r="AI278" s="18">
        <f t="shared" si="201"/>
        <v>0.99999948423285889</v>
      </c>
      <c r="AJ278" s="18">
        <f t="shared" si="202"/>
        <v>5.1576714098065379E-7</v>
      </c>
      <c r="AK278">
        <f t="shared" si="212"/>
        <v>1.3940436761983261</v>
      </c>
      <c r="AL278">
        <f t="shared" si="230"/>
        <v>1938859.4591323715</v>
      </c>
      <c r="AM278">
        <f t="shared" si="231"/>
        <v>1392.4293372133366</v>
      </c>
      <c r="AN278">
        <f t="shared" si="232"/>
        <v>1.180696267546538</v>
      </c>
      <c r="AO278">
        <f t="shared" si="203"/>
        <v>5.2820199214985611E-2</v>
      </c>
      <c r="AP278">
        <f t="shared" si="204"/>
        <v>18.624409095284591</v>
      </c>
      <c r="AQ278">
        <f t="shared" si="233"/>
        <v>660.68347999655418</v>
      </c>
      <c r="AV278">
        <f t="shared" si="234"/>
        <v>3.5176999900405959E-15</v>
      </c>
      <c r="AW278">
        <f t="shared" si="235"/>
        <v>5.9310201399427033E-2</v>
      </c>
      <c r="AX278" s="4">
        <f t="shared" si="205"/>
        <v>0.7445155835976548</v>
      </c>
      <c r="AY278" s="1">
        <f t="shared" si="206"/>
        <v>7.96628072079133E-2</v>
      </c>
      <c r="AZ278">
        <f t="shared" si="207"/>
        <v>-3.4033891725873862E-4</v>
      </c>
      <c r="BA278">
        <f t="shared" si="208"/>
        <v>-1.098744393715978</v>
      </c>
      <c r="BB278">
        <f t="shared" si="209"/>
        <v>-1.2268706012320283</v>
      </c>
      <c r="BC278">
        <f t="shared" si="236"/>
        <v>0.940689798600573</v>
      </c>
      <c r="BD278">
        <f t="shared" si="237"/>
        <v>9.4068979860057293E-7</v>
      </c>
      <c r="BE278">
        <f t="shared" si="238"/>
        <v>0.52951633736962744</v>
      </c>
      <c r="BF278">
        <f t="shared" si="239"/>
        <v>5.8570946969619979E-14</v>
      </c>
      <c r="BG278">
        <f t="shared" si="240"/>
        <v>5.9347010015489525E-2</v>
      </c>
      <c r="BH278">
        <f t="shared" si="241"/>
        <v>-1.2266011565153594</v>
      </c>
      <c r="BI278">
        <f t="shared" si="210"/>
        <v>5.1308160500347437</v>
      </c>
      <c r="BJ278">
        <f t="shared" si="242"/>
        <v>-6.0265535656970828</v>
      </c>
      <c r="BL278">
        <f t="shared" si="211"/>
        <v>25.548441640234522</v>
      </c>
      <c r="BM278" s="4"/>
      <c r="BN278">
        <f t="shared" si="243"/>
        <v>1.7413776058366229E-11</v>
      </c>
      <c r="BO278">
        <f t="shared" si="244"/>
        <v>1.0448265635019738E-6</v>
      </c>
      <c r="BP278">
        <f t="shared" si="245"/>
        <v>53.495120051301058</v>
      </c>
      <c r="BQ278">
        <f t="shared" si="246"/>
        <v>1.7283141664800266</v>
      </c>
      <c r="BR278">
        <f t="shared" si="247"/>
        <v>1.7352794480604568</v>
      </c>
      <c r="BS278">
        <f t="shared" si="248"/>
        <v>8.9157697093507099E-4</v>
      </c>
      <c r="BT278">
        <f t="shared" si="249"/>
        <v>53.49461825610426</v>
      </c>
      <c r="BU278">
        <f t="shared" si="250"/>
        <v>1.7283100926896153</v>
      </c>
      <c r="BV278" s="4"/>
      <c r="BW278" s="4">
        <f t="shared" si="251"/>
        <v>-1.5910227165175528</v>
      </c>
      <c r="BX278" s="4"/>
      <c r="BY278" s="4"/>
      <c r="BZ278" s="4"/>
      <c r="CA278" s="4">
        <f t="shared" si="252"/>
        <v>0.98408977283482446</v>
      </c>
    </row>
    <row r="279" spans="1:79">
      <c r="A279">
        <v>1.3722000000000001</v>
      </c>
      <c r="B279">
        <v>55.51</v>
      </c>
      <c r="C279">
        <f t="shared" si="213"/>
        <v>2.3722000000000003</v>
      </c>
      <c r="D279">
        <f t="shared" si="214"/>
        <v>1.3722000000000003</v>
      </c>
      <c r="E279">
        <f t="shared" si="215"/>
        <v>137220.00000000003</v>
      </c>
      <c r="F279">
        <f t="shared" si="216"/>
        <v>1024029850.7462689</v>
      </c>
      <c r="G279">
        <f t="shared" si="217"/>
        <v>2.9652500000000002</v>
      </c>
      <c r="H279">
        <f t="shared" si="188"/>
        <v>1.9068879532058001</v>
      </c>
      <c r="I279">
        <f t="shared" si="189"/>
        <v>9.2516666666666659E-4</v>
      </c>
      <c r="J279">
        <f t="shared" si="218"/>
        <v>1.8069661458333333E-11</v>
      </c>
      <c r="K279" s="1">
        <f t="shared" si="190"/>
        <v>7.8571447737889044E-2</v>
      </c>
      <c r="L279">
        <f t="shared" si="219"/>
        <v>7.8571447737889036E-8</v>
      </c>
      <c r="M279">
        <f t="shared" si="220"/>
        <v>0.92142855226211096</v>
      </c>
      <c r="N279">
        <f t="shared" si="221"/>
        <v>9.2142855226211096E-7</v>
      </c>
      <c r="O279">
        <f t="shared" si="222"/>
        <v>471.78517142316002</v>
      </c>
      <c r="P279">
        <f t="shared" si="191"/>
        <v>8.6944055944101952E-4</v>
      </c>
      <c r="Q279">
        <f t="shared" si="223"/>
        <v>3.004253137537499E-15</v>
      </c>
      <c r="R279">
        <f t="shared" si="224"/>
        <v>1.458742114923829E-18</v>
      </c>
      <c r="S279">
        <f t="shared" si="192"/>
        <v>1.7209857289236836E-14</v>
      </c>
      <c r="T279">
        <f t="shared" si="193"/>
        <v>9.0578196259141245E-18</v>
      </c>
      <c r="U279">
        <f t="shared" si="225"/>
        <v>4.742844304527229E-13</v>
      </c>
      <c r="V279">
        <f t="shared" si="194"/>
        <v>1.9097864159841982E-5</v>
      </c>
      <c r="W279">
        <f t="shared" si="195"/>
        <v>3.628594190369977E-2</v>
      </c>
      <c r="X279">
        <f t="shared" si="196"/>
        <v>6.7744932143917254</v>
      </c>
      <c r="Y279">
        <f t="shared" si="197"/>
        <v>7.1275974697665595E-9</v>
      </c>
      <c r="Z279">
        <f t="shared" si="198"/>
        <v>0.87622283476227703</v>
      </c>
      <c r="AA279">
        <f t="shared" si="199"/>
        <v>2.2587076822916666E-11</v>
      </c>
      <c r="AC279">
        <f t="shared" si="200"/>
        <v>0.99923864630046899</v>
      </c>
      <c r="AD279">
        <f t="shared" si="226"/>
        <v>7.1951679204421168</v>
      </c>
      <c r="AE279">
        <f t="shared" si="227"/>
        <v>1.8069670516152959E-11</v>
      </c>
      <c r="AF279">
        <f t="shared" si="228"/>
        <v>18.260195198337723</v>
      </c>
      <c r="AG279">
        <f t="shared" si="229"/>
        <v>129057.79251911327</v>
      </c>
      <c r="AI279" s="18">
        <f t="shared" si="201"/>
        <v>0.99999949872801397</v>
      </c>
      <c r="AJ279" s="18">
        <f t="shared" si="202"/>
        <v>5.0127198599537816E-7</v>
      </c>
      <c r="AK279">
        <f t="shared" si="212"/>
        <v>1.3842192639849498</v>
      </c>
      <c r="AL279">
        <f t="shared" si="230"/>
        <v>1994924.9667608999</v>
      </c>
      <c r="AM279">
        <f t="shared" si="231"/>
        <v>1412.4181274540836</v>
      </c>
      <c r="AN279">
        <f t="shared" si="232"/>
        <v>1.1765284798868874</v>
      </c>
      <c r="AO279">
        <f t="shared" si="203"/>
        <v>5.2480342214615699E-2</v>
      </c>
      <c r="AP279">
        <f t="shared" si="204"/>
        <v>18.260195198337723</v>
      </c>
      <c r="AQ279">
        <f t="shared" si="233"/>
        <v>666.58314392660202</v>
      </c>
      <c r="AV279">
        <f t="shared" si="234"/>
        <v>3.4602657573532294E-15</v>
      </c>
      <c r="AW279">
        <f t="shared" si="235"/>
        <v>5.8824023641308572E-2</v>
      </c>
      <c r="AX279" s="4">
        <f t="shared" si="205"/>
        <v>0.74866920917052426</v>
      </c>
      <c r="AY279" s="1">
        <f t="shared" si="206"/>
        <v>7.8571447737889044E-2</v>
      </c>
      <c r="AZ279">
        <f t="shared" si="207"/>
        <v>-3.3077764585942679E-4</v>
      </c>
      <c r="BA279">
        <f t="shared" si="208"/>
        <v>-1.104735244579633</v>
      </c>
      <c r="BB279">
        <f t="shared" si="209"/>
        <v>-1.23044527249382</v>
      </c>
      <c r="BC279">
        <f t="shared" si="236"/>
        <v>0.94117597635869144</v>
      </c>
      <c r="BD279">
        <f t="shared" si="237"/>
        <v>9.4117597635869143E-7</v>
      </c>
      <c r="BE279">
        <f t="shared" si="238"/>
        <v>0.53006381984989326</v>
      </c>
      <c r="BF279">
        <f t="shared" si="239"/>
        <v>5.8692126024303349E-14</v>
      </c>
      <c r="BG279">
        <f t="shared" si="240"/>
        <v>5.9469794688506536E-2</v>
      </c>
      <c r="BH279">
        <f t="shared" si="241"/>
        <v>-1.2257035608416105</v>
      </c>
      <c r="BI279">
        <f t="shared" si="210"/>
        <v>5.1374174149903924</v>
      </c>
      <c r="BJ279">
        <f t="shared" si="242"/>
        <v>-6.0263291667786456</v>
      </c>
      <c r="BL279">
        <f t="shared" si="211"/>
        <v>25.133079082947567</v>
      </c>
      <c r="BM279" s="4"/>
      <c r="BN279">
        <f t="shared" si="243"/>
        <v>1.7717070598874359E-11</v>
      </c>
      <c r="BO279">
        <f t="shared" si="244"/>
        <v>1.0630242359324615E-6</v>
      </c>
      <c r="BP279">
        <f t="shared" si="245"/>
        <v>54.426840879742031</v>
      </c>
      <c r="BQ279">
        <f t="shared" si="246"/>
        <v>1.7358131271094237</v>
      </c>
      <c r="BR279">
        <f t="shared" si="247"/>
        <v>1.7443712273318606</v>
      </c>
      <c r="BS279">
        <f t="shared" si="248"/>
        <v>9.0710550574687999E-4</v>
      </c>
      <c r="BT279">
        <f t="shared" si="249"/>
        <v>54.426330344812797</v>
      </c>
      <c r="BU279">
        <f t="shared" si="250"/>
        <v>1.7358090533190125</v>
      </c>
      <c r="BV279" s="4"/>
      <c r="BW279" s="4">
        <f t="shared" si="251"/>
        <v>-1.9512864713708653</v>
      </c>
      <c r="BX279" s="4"/>
      <c r="BY279" s="4"/>
      <c r="BZ279" s="4"/>
      <c r="CA279" s="4">
        <f t="shared" si="252"/>
        <v>0.98048713528629139</v>
      </c>
    </row>
    <row r="280" spans="1:79">
      <c r="A280">
        <v>1.3942000000000001</v>
      </c>
      <c r="B280">
        <v>56.938000000000002</v>
      </c>
      <c r="C280">
        <f t="shared" si="213"/>
        <v>2.3942000000000001</v>
      </c>
      <c r="D280">
        <f t="shared" si="214"/>
        <v>1.3942000000000001</v>
      </c>
      <c r="E280">
        <f t="shared" si="215"/>
        <v>139420</v>
      </c>
      <c r="F280">
        <f t="shared" si="216"/>
        <v>1040447761.1940298</v>
      </c>
      <c r="G280">
        <f t="shared" si="217"/>
        <v>2.99275</v>
      </c>
      <c r="H280">
        <f t="shared" si="188"/>
        <v>1.9193283585704068</v>
      </c>
      <c r="I280">
        <f t="shared" si="189"/>
        <v>9.4896666666666673E-4</v>
      </c>
      <c r="J280">
        <f t="shared" si="218"/>
        <v>1.8534505208333333E-11</v>
      </c>
      <c r="K280" s="1">
        <f t="shared" si="190"/>
        <v>7.6922203628417618E-2</v>
      </c>
      <c r="L280">
        <f t="shared" si="219"/>
        <v>7.6922203628417609E-8</v>
      </c>
      <c r="M280">
        <f t="shared" si="220"/>
        <v>0.92307779637158238</v>
      </c>
      <c r="N280">
        <f t="shared" si="221"/>
        <v>9.2307779637158237E-7</v>
      </c>
      <c r="O280">
        <f t="shared" si="222"/>
        <v>480.20711332136568</v>
      </c>
      <c r="P280">
        <f t="shared" si="191"/>
        <v>8.8654498072936498E-4</v>
      </c>
      <c r="Q280">
        <f t="shared" si="223"/>
        <v>2.8811487753199542E-15</v>
      </c>
      <c r="R280">
        <f t="shared" si="224"/>
        <v>1.4230010189387574E-18</v>
      </c>
      <c r="S280">
        <f t="shared" si="192"/>
        <v>1.688140495905601E-14</v>
      </c>
      <c r="T280">
        <f t="shared" si="193"/>
        <v>8.8849499784505324E-18</v>
      </c>
      <c r="U280">
        <f t="shared" si="225"/>
        <v>4.6472757607148565E-13</v>
      </c>
      <c r="V280">
        <f t="shared" si="194"/>
        <v>1.9118620103326569E-5</v>
      </c>
      <c r="W280">
        <f t="shared" si="195"/>
        <v>3.6325378196320479E-2</v>
      </c>
      <c r="X280">
        <f t="shared" si="196"/>
        <v>6.9239594344876254</v>
      </c>
      <c r="Y280">
        <f t="shared" si="197"/>
        <v>6.9855703462416123E-9</v>
      </c>
      <c r="Z280">
        <f t="shared" si="198"/>
        <v>0.89715794735444476</v>
      </c>
      <c r="AA280">
        <f t="shared" si="199"/>
        <v>2.3168131510416666E-11</v>
      </c>
      <c r="AC280">
        <f t="shared" si="200"/>
        <v>0.99927188287448132</v>
      </c>
      <c r="AD280">
        <f t="shared" si="226"/>
        <v>7.3800188222629632</v>
      </c>
      <c r="AE280">
        <f t="shared" si="227"/>
        <v>1.8534514093283311E-11</v>
      </c>
      <c r="AF280">
        <f t="shared" si="228"/>
        <v>17.83409492963985</v>
      </c>
      <c r="AG280">
        <f t="shared" si="229"/>
        <v>131755.19470045331</v>
      </c>
      <c r="AI280" s="18">
        <f t="shared" si="201"/>
        <v>0.99999952062676511</v>
      </c>
      <c r="AJ280" s="18">
        <f t="shared" si="202"/>
        <v>4.7937323491368641E-7</v>
      </c>
      <c r="AK280">
        <f t="shared" si="212"/>
        <v>1.3803279783902231</v>
      </c>
      <c r="AL280">
        <f t="shared" si="230"/>
        <v>2086057.2246593097</v>
      </c>
      <c r="AM280">
        <f t="shared" si="231"/>
        <v>1444.3189483833928</v>
      </c>
      <c r="AN280">
        <f t="shared" si="232"/>
        <v>1.1748736010270309</v>
      </c>
      <c r="AO280">
        <f t="shared" si="203"/>
        <v>5.1939011370659469E-2</v>
      </c>
      <c r="AP280">
        <f t="shared" si="204"/>
        <v>17.83409492963985</v>
      </c>
      <c r="AQ280">
        <f t="shared" si="233"/>
        <v>678.60216993763777</v>
      </c>
      <c r="AV280">
        <f t="shared" si="234"/>
        <v>3.3341094876243045E-15</v>
      </c>
      <c r="AW280">
        <f t="shared" si="235"/>
        <v>5.7741748221060159E-2</v>
      </c>
      <c r="AX280" s="4">
        <f t="shared" si="205"/>
        <v>0.75065124889022861</v>
      </c>
      <c r="AY280" s="1">
        <f t="shared" si="206"/>
        <v>7.6922203628417618E-2</v>
      </c>
      <c r="AZ280">
        <f t="shared" si="207"/>
        <v>-3.163324273013704E-4</v>
      </c>
      <c r="BA280">
        <f t="shared" si="208"/>
        <v>-1.1139482828064953</v>
      </c>
      <c r="BB280">
        <f t="shared" si="209"/>
        <v>-1.2385100713166453</v>
      </c>
      <c r="BC280">
        <f t="shared" si="236"/>
        <v>0.94225825177893985</v>
      </c>
      <c r="BD280">
        <f t="shared" si="237"/>
        <v>9.4225825177893979E-7</v>
      </c>
      <c r="BE280">
        <f t="shared" si="238"/>
        <v>0.53128358086696625</v>
      </c>
      <c r="BF280">
        <f t="shared" si="239"/>
        <v>5.8962556621718309E-14</v>
      </c>
      <c r="BG280">
        <f t="shared" si="240"/>
        <v>5.9743808482096129E-2</v>
      </c>
      <c r="BH280">
        <f t="shared" si="241"/>
        <v>-1.2237070959260838</v>
      </c>
      <c r="BI280">
        <f t="shared" si="210"/>
        <v>5.1443250784004881</v>
      </c>
      <c r="BJ280">
        <f t="shared" si="242"/>
        <v>-6.0258300505497635</v>
      </c>
      <c r="BL280">
        <f t="shared" si="211"/>
        <v>24.934875110977138</v>
      </c>
      <c r="BM280" s="4"/>
      <c r="BN280">
        <f t="shared" si="243"/>
        <v>1.8084064363537889E-11</v>
      </c>
      <c r="BO280">
        <f t="shared" si="244"/>
        <v>1.0850438618122734E-6</v>
      </c>
      <c r="BP280">
        <f t="shared" si="245"/>
        <v>55.554245724788402</v>
      </c>
      <c r="BQ280">
        <f t="shared" si="246"/>
        <v>1.7447172554350465</v>
      </c>
      <c r="BR280">
        <f t="shared" si="247"/>
        <v>1.7554022080828255</v>
      </c>
      <c r="BS280">
        <f t="shared" si="248"/>
        <v>9.2589541024284126E-4</v>
      </c>
      <c r="BT280">
        <f t="shared" si="249"/>
        <v>55.553724614570477</v>
      </c>
      <c r="BU280">
        <f t="shared" si="250"/>
        <v>1.7447131816446351</v>
      </c>
      <c r="BV280" s="4"/>
      <c r="BW280" s="4">
        <f t="shared" si="251"/>
        <v>-2.4302825445424858</v>
      </c>
      <c r="BX280" s="4"/>
      <c r="BY280" s="4"/>
      <c r="BZ280" s="4"/>
      <c r="CA280" s="4">
        <f t="shared" si="252"/>
        <v>0.97569717455457516</v>
      </c>
    </row>
    <row r="281" spans="1:79">
      <c r="A281">
        <v>1.4134</v>
      </c>
      <c r="B281">
        <v>58.18</v>
      </c>
      <c r="C281">
        <f t="shared" si="213"/>
        <v>2.4134000000000002</v>
      </c>
      <c r="D281">
        <f t="shared" si="214"/>
        <v>1.4134000000000002</v>
      </c>
      <c r="E281">
        <f t="shared" si="215"/>
        <v>141340.00000000003</v>
      </c>
      <c r="F281">
        <f t="shared" si="216"/>
        <v>1054776119.4029852</v>
      </c>
      <c r="G281">
        <f t="shared" si="217"/>
        <v>3.01675</v>
      </c>
      <c r="H281">
        <f t="shared" si="188"/>
        <v>1.9301854396158822</v>
      </c>
      <c r="I281">
        <f t="shared" si="189"/>
        <v>9.6966666666666664E-4</v>
      </c>
      <c r="J281">
        <f t="shared" si="218"/>
        <v>1.8938802083333333E-11</v>
      </c>
      <c r="K281" s="1">
        <f t="shared" si="190"/>
        <v>7.6245144024303602E-2</v>
      </c>
      <c r="L281">
        <f t="shared" si="219"/>
        <v>7.6245144024303597E-8</v>
      </c>
      <c r="M281">
        <f t="shared" si="220"/>
        <v>0.9237548559756964</v>
      </c>
      <c r="N281">
        <f t="shared" si="221"/>
        <v>9.2375485597569638E-7</v>
      </c>
      <c r="O281">
        <f t="shared" si="222"/>
        <v>487.17728113285426</v>
      </c>
      <c r="P281">
        <f t="shared" si="191"/>
        <v>9.0007270277246828E-4</v>
      </c>
      <c r="Q281">
        <f t="shared" si="223"/>
        <v>2.8313352951391732E-15</v>
      </c>
      <c r="R281">
        <f t="shared" si="224"/>
        <v>1.4183121031131917E-18</v>
      </c>
      <c r="S281">
        <f t="shared" si="192"/>
        <v>1.6863923799024442E-14</v>
      </c>
      <c r="T281">
        <f t="shared" si="193"/>
        <v>8.8757493679076013E-18</v>
      </c>
      <c r="U281">
        <f t="shared" si="225"/>
        <v>4.6079927902908347E-13</v>
      </c>
      <c r="V281">
        <f t="shared" si="194"/>
        <v>1.926163900822294E-5</v>
      </c>
      <c r="W281">
        <f t="shared" si="195"/>
        <v>3.6597114115623587E-2</v>
      </c>
      <c r="X281">
        <f t="shared" si="196"/>
        <v>7.0646258167646936</v>
      </c>
      <c r="Y281">
        <f t="shared" si="197"/>
        <v>6.9758805915489859E-9</v>
      </c>
      <c r="Z281">
        <f t="shared" si="198"/>
        <v>0.91605592418411785</v>
      </c>
      <c r="AA281">
        <f t="shared" si="199"/>
        <v>2.3673502604166667E-11</v>
      </c>
      <c r="AC281">
        <f t="shared" si="200"/>
        <v>0.99928815268522264</v>
      </c>
      <c r="AD281">
        <f t="shared" si="226"/>
        <v>7.5408778731690429</v>
      </c>
      <c r="AE281">
        <f t="shared" si="227"/>
        <v>1.89388109590827E-11</v>
      </c>
      <c r="AF281">
        <f t="shared" si="228"/>
        <v>17.466182552392034</v>
      </c>
      <c r="AG281">
        <f t="shared" si="229"/>
        <v>133970.11516326439</v>
      </c>
      <c r="AI281" s="18">
        <f t="shared" si="201"/>
        <v>0.99999953134600761</v>
      </c>
      <c r="AJ281" s="18">
        <f t="shared" si="202"/>
        <v>4.6865399243298099E-7</v>
      </c>
      <c r="AK281">
        <f t="shared" si="212"/>
        <v>1.3731298647154602</v>
      </c>
      <c r="AL281">
        <f t="shared" si="230"/>
        <v>2133770.3639492695</v>
      </c>
      <c r="AM281">
        <f t="shared" si="231"/>
        <v>1460.7430862233336</v>
      </c>
      <c r="AN281">
        <f t="shared" si="232"/>
        <v>1.1718062402613583</v>
      </c>
      <c r="AO281">
        <f t="shared" si="203"/>
        <v>5.1611288553180958E-2</v>
      </c>
      <c r="AP281">
        <f t="shared" si="204"/>
        <v>17.466182552392034</v>
      </c>
      <c r="AQ281">
        <f t="shared" si="233"/>
        <v>686.41181384346203</v>
      </c>
      <c r="AV281">
        <f t="shared" si="234"/>
        <v>3.2927624077737267E-15</v>
      </c>
      <c r="AW281">
        <f t="shared" si="235"/>
        <v>5.7382596732578485E-2</v>
      </c>
      <c r="AX281" s="4">
        <f t="shared" si="205"/>
        <v>0.75260657536809739</v>
      </c>
      <c r="AY281" s="1">
        <f t="shared" si="206"/>
        <v>7.6245144024303602E-2</v>
      </c>
      <c r="AZ281">
        <f t="shared" si="207"/>
        <v>-3.0926144729476472E-4</v>
      </c>
      <c r="BA281">
        <f t="shared" si="208"/>
        <v>-1.1177878108743617</v>
      </c>
      <c r="BB281">
        <f t="shared" si="209"/>
        <v>-1.2412198025328143</v>
      </c>
      <c r="BC281">
        <f t="shared" si="236"/>
        <v>0.94261740326742149</v>
      </c>
      <c r="BD281">
        <f t="shared" si="237"/>
        <v>9.4261740326742144E-7</v>
      </c>
      <c r="BE281">
        <f t="shared" si="238"/>
        <v>0.53168866652870095</v>
      </c>
      <c r="BF281">
        <f t="shared" si="239"/>
        <v>5.9052504788136026E-14</v>
      </c>
      <c r="BG281">
        <f t="shared" si="240"/>
        <v>5.9834948458645183E-2</v>
      </c>
      <c r="BH281">
        <f t="shared" si="241"/>
        <v>-1.2230450787321749</v>
      </c>
      <c r="BI281">
        <f t="shared" si="210"/>
        <v>5.1502650869787034</v>
      </c>
      <c r="BJ281">
        <f t="shared" si="242"/>
        <v>-6.0256645462512868</v>
      </c>
      <c r="BL281">
        <f t="shared" si="211"/>
        <v>24.739342463190265</v>
      </c>
      <c r="BM281" s="4"/>
      <c r="BN281">
        <f t="shared" si="243"/>
        <v>1.8361073531457518E-11</v>
      </c>
      <c r="BO281">
        <f t="shared" si="244"/>
        <v>1.1016644118874512E-6</v>
      </c>
      <c r="BP281">
        <f t="shared" si="245"/>
        <v>56.405217888637502</v>
      </c>
      <c r="BQ281">
        <f t="shared" si="246"/>
        <v>1.7513192812071707</v>
      </c>
      <c r="BR281">
        <f t="shared" si="247"/>
        <v>1.7647737169110405</v>
      </c>
      <c r="BS281">
        <f t="shared" si="248"/>
        <v>9.4007814660210319E-4</v>
      </c>
      <c r="BT281">
        <f t="shared" si="249"/>
        <v>56.404688796126194</v>
      </c>
      <c r="BU281">
        <f t="shared" si="250"/>
        <v>1.7513152074167595</v>
      </c>
      <c r="BV281" s="4"/>
      <c r="BW281" s="4">
        <f t="shared" si="251"/>
        <v>-3.0505020820943587</v>
      </c>
      <c r="BX281" s="4"/>
      <c r="BY281" s="4"/>
      <c r="BZ281" s="4"/>
      <c r="CA281" s="4">
        <f t="shared" si="252"/>
        <v>0.96949497917905636</v>
      </c>
    </row>
    <row r="282" spans="1:79">
      <c r="A282">
        <v>1.4325000000000001</v>
      </c>
      <c r="B282">
        <v>59.472999999999999</v>
      </c>
      <c r="C282">
        <f t="shared" si="213"/>
        <v>2.4325000000000001</v>
      </c>
      <c r="D282">
        <f t="shared" si="214"/>
        <v>1.4325000000000001</v>
      </c>
      <c r="E282">
        <f t="shared" si="215"/>
        <v>143250</v>
      </c>
      <c r="F282">
        <f t="shared" si="216"/>
        <v>1069029850.7462686</v>
      </c>
      <c r="G282">
        <f t="shared" si="217"/>
        <v>3.0406250000000004</v>
      </c>
      <c r="H282">
        <f t="shared" si="188"/>
        <v>1.9409859733642452</v>
      </c>
      <c r="I282">
        <f t="shared" si="189"/>
        <v>9.9121666666666659E-4</v>
      </c>
      <c r="J282">
        <f t="shared" si="218"/>
        <v>1.9359700520833332E-11</v>
      </c>
      <c r="K282" s="1">
        <f t="shared" si="190"/>
        <v>7.5037514298229024E-2</v>
      </c>
      <c r="L282">
        <f t="shared" si="219"/>
        <v>7.5037514298229022E-8</v>
      </c>
      <c r="M282">
        <f t="shared" si="220"/>
        <v>0.92496248570177098</v>
      </c>
      <c r="N282">
        <f t="shared" si="221"/>
        <v>9.2496248570177093E-7</v>
      </c>
      <c r="O282">
        <f t="shared" si="222"/>
        <v>494.40625401783092</v>
      </c>
      <c r="P282">
        <f t="shared" si="191"/>
        <v>9.146224405483037E-4</v>
      </c>
      <c r="Q282">
        <f t="shared" si="223"/>
        <v>2.7435340108604728E-15</v>
      </c>
      <c r="R282">
        <f t="shared" si="224"/>
        <v>1.3940515469611745E-18</v>
      </c>
      <c r="S282">
        <f t="shared" si="192"/>
        <v>1.6642334411797076E-14</v>
      </c>
      <c r="T282">
        <f t="shared" si="193"/>
        <v>8.7591233746300402E-18</v>
      </c>
      <c r="U282">
        <f t="shared" si="225"/>
        <v>4.5378546603167593E-13</v>
      </c>
      <c r="V282">
        <f t="shared" si="194"/>
        <v>1.9302344456352905E-5</v>
      </c>
      <c r="W282">
        <f t="shared" si="195"/>
        <v>3.6674454467070523E-2</v>
      </c>
      <c r="X282">
        <f t="shared" si="196"/>
        <v>7.2027862007548586</v>
      </c>
      <c r="Y282">
        <f t="shared" si="197"/>
        <v>6.8798997536313838E-9</v>
      </c>
      <c r="Z282">
        <f t="shared" si="198"/>
        <v>0.93519189054304175</v>
      </c>
      <c r="AA282">
        <f t="shared" si="199"/>
        <v>2.4199625651041666E-11</v>
      </c>
      <c r="AC282">
        <f t="shared" si="200"/>
        <v>0.99931276221332732</v>
      </c>
      <c r="AD282">
        <f t="shared" si="226"/>
        <v>7.7082775062458655</v>
      </c>
      <c r="AE282">
        <f t="shared" si="227"/>
        <v>1.9359709279956708E-11</v>
      </c>
      <c r="AF282">
        <f t="shared" si="228"/>
        <v>17.10878821961257</v>
      </c>
      <c r="AG282">
        <f t="shared" si="229"/>
        <v>136363.48221512407</v>
      </c>
      <c r="AI282" s="18">
        <f t="shared" si="201"/>
        <v>0.99999954755914722</v>
      </c>
      <c r="AJ282" s="18">
        <f t="shared" si="202"/>
        <v>4.5244085269908701E-7</v>
      </c>
      <c r="AK282">
        <f t="shared" si="212"/>
        <v>1.3675026367051675</v>
      </c>
      <c r="AL282">
        <f t="shared" si="230"/>
        <v>2210233.6560334619</v>
      </c>
      <c r="AM282">
        <f t="shared" si="231"/>
        <v>1486.6854596832047</v>
      </c>
      <c r="AN282">
        <f t="shared" si="232"/>
        <v>1.1694026837258273</v>
      </c>
      <c r="AO282">
        <f t="shared" si="203"/>
        <v>5.1167881138389139E-2</v>
      </c>
      <c r="AP282">
        <f t="shared" si="204"/>
        <v>17.10878821961257</v>
      </c>
      <c r="AQ282">
        <f t="shared" si="233"/>
        <v>695.8112741771655</v>
      </c>
      <c r="AV282">
        <f t="shared" si="234"/>
        <v>3.2055997571986448E-15</v>
      </c>
      <c r="AW282">
        <f t="shared" si="235"/>
        <v>5.6618016189183502E-2</v>
      </c>
      <c r="AX282" s="4">
        <f t="shared" si="205"/>
        <v>0.75452947393967384</v>
      </c>
      <c r="AY282" s="1">
        <f t="shared" si="206"/>
        <v>7.5037514298229024E-2</v>
      </c>
      <c r="AZ282">
        <f t="shared" si="207"/>
        <v>-2.9856618324382425E-4</v>
      </c>
      <c r="BA282">
        <f t="shared" si="208"/>
        <v>-1.1247215608822283</v>
      </c>
      <c r="BB282">
        <f t="shared" si="209"/>
        <v>-1.2470453517350348</v>
      </c>
      <c r="BC282">
        <f t="shared" si="236"/>
        <v>0.9433819838108165</v>
      </c>
      <c r="BD282">
        <f t="shared" si="237"/>
        <v>9.4338198381081648E-7</v>
      </c>
      <c r="BE282">
        <f t="shared" si="238"/>
        <v>0.53255154828103635</v>
      </c>
      <c r="BF282">
        <f t="shared" si="239"/>
        <v>5.9244333878825106E-14</v>
      </c>
      <c r="BG282">
        <f t="shared" si="240"/>
        <v>6.0029319278230742E-2</v>
      </c>
      <c r="BH282">
        <f t="shared" si="241"/>
        <v>-1.2216365814381343</v>
      </c>
      <c r="BI282">
        <f t="shared" si="210"/>
        <v>5.1560946306394273</v>
      </c>
      <c r="BJ282">
        <f t="shared" si="242"/>
        <v>-6.0253124219277767</v>
      </c>
      <c r="BL282">
        <f t="shared" si="211"/>
        <v>24.547052606032612</v>
      </c>
      <c r="BM282" s="4"/>
      <c r="BN282">
        <f t="shared" si="243"/>
        <v>1.866964718414366E-11</v>
      </c>
      <c r="BO282">
        <f t="shared" si="244"/>
        <v>1.1201788310486195E-6</v>
      </c>
      <c r="BP282">
        <f t="shared" si="245"/>
        <v>57.353156149689319</v>
      </c>
      <c r="BQ282">
        <f t="shared" si="246"/>
        <v>1.7585573221619353</v>
      </c>
      <c r="BR282">
        <f t="shared" si="247"/>
        <v>1.7743198461936518</v>
      </c>
      <c r="BS282">
        <f t="shared" si="248"/>
        <v>9.5587696942204517E-4</v>
      </c>
      <c r="BT282">
        <f t="shared" si="249"/>
        <v>57.35261816532271</v>
      </c>
      <c r="BU282">
        <f t="shared" si="250"/>
        <v>1.7585532483715238</v>
      </c>
      <c r="BV282" s="4"/>
      <c r="BW282" s="4">
        <f t="shared" si="251"/>
        <v>-3.5643802234807058</v>
      </c>
      <c r="BX282" s="4"/>
      <c r="BY282" s="4"/>
      <c r="BZ282" s="4"/>
      <c r="CA282" s="4">
        <f t="shared" si="252"/>
        <v>0.96435619776519299</v>
      </c>
    </row>
    <row r="283" spans="1:79">
      <c r="A283">
        <v>1.4505999999999999</v>
      </c>
      <c r="B283">
        <v>61.250999999999998</v>
      </c>
      <c r="C283">
        <f t="shared" si="213"/>
        <v>2.4505999999999997</v>
      </c>
      <c r="D283">
        <f t="shared" si="214"/>
        <v>1.4505999999999997</v>
      </c>
      <c r="E283">
        <f t="shared" si="215"/>
        <v>145059.99999999997</v>
      </c>
      <c r="F283">
        <f t="shared" si="216"/>
        <v>1082537313.4328356</v>
      </c>
      <c r="G283">
        <f t="shared" si="217"/>
        <v>3.0632499999999996</v>
      </c>
      <c r="H283">
        <f t="shared" si="188"/>
        <v>1.9512210341414895</v>
      </c>
      <c r="I283">
        <f t="shared" si="189"/>
        <v>1.02085E-3</v>
      </c>
      <c r="J283">
        <f t="shared" si="218"/>
        <v>1.99384765625E-11</v>
      </c>
      <c r="K283" s="1">
        <f t="shared" si="190"/>
        <v>7.2250336978747942E-2</v>
      </c>
      <c r="L283">
        <f t="shared" si="219"/>
        <v>7.2250336978747937E-8</v>
      </c>
      <c r="M283">
        <f t="shared" si="220"/>
        <v>0.92774966302125206</v>
      </c>
      <c r="N283">
        <f t="shared" si="221"/>
        <v>9.2774966302125203E-7</v>
      </c>
      <c r="O283">
        <f t="shared" si="222"/>
        <v>502.16181387262236</v>
      </c>
      <c r="P283">
        <f t="shared" si="191"/>
        <v>9.317689205028928E-4</v>
      </c>
      <c r="Q283">
        <f t="shared" si="223"/>
        <v>2.5460270164595905E-15</v>
      </c>
      <c r="R283">
        <f t="shared" si="224"/>
        <v>1.3125364951080238E-18</v>
      </c>
      <c r="S283">
        <f t="shared" si="192"/>
        <v>1.5814521882756271E-14</v>
      </c>
      <c r="T283">
        <f t="shared" si="193"/>
        <v>8.3234325698717217E-18</v>
      </c>
      <c r="U283">
        <f t="shared" si="225"/>
        <v>4.375627927670879E-13</v>
      </c>
      <c r="V283">
        <f t="shared" si="194"/>
        <v>1.9022258536278783E-5</v>
      </c>
      <c r="W283">
        <f t="shared" si="195"/>
        <v>3.6142291218929687E-2</v>
      </c>
      <c r="X283">
        <f t="shared" si="196"/>
        <v>7.3736155252492992</v>
      </c>
      <c r="Y283">
        <f t="shared" si="197"/>
        <v>6.5282317993792804E-9</v>
      </c>
      <c r="Z283">
        <f t="shared" si="198"/>
        <v>0.96025678253766278</v>
      </c>
      <c r="AA283">
        <f t="shared" si="199"/>
        <v>2.4923095703125001E-11</v>
      </c>
      <c r="AC283">
        <f t="shared" si="200"/>
        <v>0.99936586956927653</v>
      </c>
      <c r="AD283">
        <f t="shared" si="226"/>
        <v>7.9383016752699938</v>
      </c>
      <c r="AE283">
        <f t="shared" si="227"/>
        <v>1.9938484885932571E-11</v>
      </c>
      <c r="AF283">
        <f t="shared" si="228"/>
        <v>16.662209828622018</v>
      </c>
      <c r="AG283">
        <f t="shared" si="229"/>
        <v>140124.48657891972</v>
      </c>
      <c r="AI283" s="18">
        <f t="shared" si="201"/>
        <v>0.99999958254437993</v>
      </c>
      <c r="AJ283" s="18">
        <f t="shared" si="202"/>
        <v>4.1745561999769848E-7</v>
      </c>
      <c r="AK283">
        <f t="shared" si="212"/>
        <v>1.3483356567736409</v>
      </c>
      <c r="AL283">
        <f t="shared" si="230"/>
        <v>2395464.2172634141</v>
      </c>
      <c r="AM283">
        <f t="shared" si="231"/>
        <v>1547.7287285772704</v>
      </c>
      <c r="AN283">
        <f t="shared" si="232"/>
        <v>1.1611785636902021</v>
      </c>
      <c r="AO283">
        <f t="shared" si="203"/>
        <v>5.020343808217953E-2</v>
      </c>
      <c r="AP283">
        <f t="shared" si="204"/>
        <v>16.662209828622018</v>
      </c>
      <c r="AQ283">
        <f t="shared" si="233"/>
        <v>704.980752393496</v>
      </c>
      <c r="AV283">
        <f t="shared" si="234"/>
        <v>3.0065284647610377E-15</v>
      </c>
      <c r="AW283">
        <f t="shared" si="235"/>
        <v>5.4831819819891423E-2</v>
      </c>
      <c r="AX283" s="4">
        <f t="shared" si="205"/>
        <v>0.75891438175603132</v>
      </c>
      <c r="AY283" s="1">
        <f t="shared" si="206"/>
        <v>7.2250336978747942E-2</v>
      </c>
      <c r="AZ283">
        <f t="shared" si="207"/>
        <v>-2.7548670335558279E-4</v>
      </c>
      <c r="BA283">
        <f t="shared" si="208"/>
        <v>-1.1411601229981347</v>
      </c>
      <c r="BB283">
        <f t="shared" si="209"/>
        <v>-1.2609673400253016</v>
      </c>
      <c r="BC283">
        <f t="shared" si="236"/>
        <v>0.94516818018010862</v>
      </c>
      <c r="BD283">
        <f t="shared" si="237"/>
        <v>9.4516818018010859E-7</v>
      </c>
      <c r="BE283">
        <f t="shared" si="238"/>
        <v>0.53457012017927108</v>
      </c>
      <c r="BF283">
        <f t="shared" si="239"/>
        <v>5.969430193005822E-14</v>
      </c>
      <c r="BG283">
        <f t="shared" si="240"/>
        <v>6.0485249390766452E-2</v>
      </c>
      <c r="BH283">
        <f t="shared" si="241"/>
        <v>-1.2183505243436292</v>
      </c>
      <c r="BI283">
        <f t="shared" si="210"/>
        <v>5.1615476731257273</v>
      </c>
      <c r="BJ283">
        <f t="shared" si="242"/>
        <v>-6.0244909076541502</v>
      </c>
      <c r="BL283">
        <f t="shared" si="211"/>
        <v>24.108561824396869</v>
      </c>
      <c r="BM283" s="4"/>
      <c r="BN283">
        <f t="shared" si="243"/>
        <v>1.904913283989458E-11</v>
      </c>
      <c r="BO283">
        <f t="shared" si="244"/>
        <v>1.1429479703936747E-6</v>
      </c>
      <c r="BP283">
        <f t="shared" si="245"/>
        <v>58.518936084156145</v>
      </c>
      <c r="BQ283">
        <f t="shared" si="246"/>
        <v>1.7672964217427403</v>
      </c>
      <c r="BR283">
        <f t="shared" si="247"/>
        <v>1.7871131835008425</v>
      </c>
      <c r="BS283">
        <f t="shared" si="248"/>
        <v>9.7530645274224441E-4</v>
      </c>
      <c r="BT283">
        <f t="shared" si="249"/>
        <v>58.518387164534666</v>
      </c>
      <c r="BU283">
        <f t="shared" si="250"/>
        <v>1.7672923479523286</v>
      </c>
      <c r="BV283" s="4"/>
      <c r="BW283" s="4">
        <f t="shared" si="251"/>
        <v>-4.4604396921582543</v>
      </c>
      <c r="BX283" s="4"/>
      <c r="BY283" s="4"/>
      <c r="BZ283" s="4"/>
      <c r="CA283" s="4">
        <f t="shared" si="252"/>
        <v>0.95539560307841742</v>
      </c>
    </row>
    <row r="284" spans="1:79">
      <c r="A284">
        <v>1.4704999999999999</v>
      </c>
      <c r="B284">
        <v>62.691000000000003</v>
      </c>
      <c r="C284">
        <f t="shared" si="213"/>
        <v>2.4704999999999999</v>
      </c>
      <c r="D284">
        <f t="shared" si="214"/>
        <v>1.4704999999999999</v>
      </c>
      <c r="E284">
        <f t="shared" si="215"/>
        <v>147050</v>
      </c>
      <c r="F284">
        <f t="shared" si="216"/>
        <v>1097388059.7014925</v>
      </c>
      <c r="G284">
        <f t="shared" si="217"/>
        <v>3.0881249999999998</v>
      </c>
      <c r="H284">
        <f t="shared" si="188"/>
        <v>1.9624739462667482</v>
      </c>
      <c r="I284">
        <f t="shared" si="189"/>
        <v>1.0448499999999999E-3</v>
      </c>
      <c r="J284">
        <f t="shared" si="218"/>
        <v>2.0407226562499998E-11</v>
      </c>
      <c r="K284" s="1">
        <f t="shared" si="190"/>
        <v>7.0333528897682296E-2</v>
      </c>
      <c r="L284">
        <f t="shared" si="219"/>
        <v>7.0333528897682296E-8</v>
      </c>
      <c r="M284">
        <f t="shared" si="220"/>
        <v>0.9296664711023177</v>
      </c>
      <c r="N284">
        <f t="shared" si="221"/>
        <v>9.2966647110231766E-7</v>
      </c>
      <c r="O284">
        <f t="shared" si="222"/>
        <v>510.10244244625301</v>
      </c>
      <c r="P284">
        <f t="shared" si="191"/>
        <v>9.4845832158381134E-4</v>
      </c>
      <c r="Q284">
        <f t="shared" si="223"/>
        <v>2.4143655748135036E-15</v>
      </c>
      <c r="R284">
        <f t="shared" si="224"/>
        <v>1.2633885443084764E-18</v>
      </c>
      <c r="S284">
        <f t="shared" si="192"/>
        <v>1.5318558894560188E-14</v>
      </c>
      <c r="T284">
        <f t="shared" si="193"/>
        <v>8.0623994181895719E-18</v>
      </c>
      <c r="U284">
        <f t="shared" si="225"/>
        <v>4.263777482229983E-13</v>
      </c>
      <c r="V284">
        <f t="shared" si="194"/>
        <v>1.8909052950795371E-5</v>
      </c>
      <c r="W284">
        <f t="shared" si="195"/>
        <v>3.5927200606511209E-2</v>
      </c>
      <c r="X284">
        <f t="shared" si="196"/>
        <v>7.5158789538772117</v>
      </c>
      <c r="Y284">
        <f t="shared" si="197"/>
        <v>6.3172170051772127E-9</v>
      </c>
      <c r="Z284">
        <f t="shared" si="198"/>
        <v>0.98080582036541353</v>
      </c>
      <c r="AA284">
        <f t="shared" si="199"/>
        <v>2.5509033203125E-11</v>
      </c>
      <c r="AC284">
        <f t="shared" si="200"/>
        <v>0.99939984533055393</v>
      </c>
      <c r="AD284">
        <f t="shared" si="226"/>
        <v>8.1246535042834829</v>
      </c>
      <c r="AE284">
        <f t="shared" si="227"/>
        <v>2.0407234624899416E-11</v>
      </c>
      <c r="AF284">
        <f t="shared" si="228"/>
        <v>16.313116896103825</v>
      </c>
      <c r="AG284">
        <f t="shared" si="229"/>
        <v>142891.03449524415</v>
      </c>
      <c r="AI284" s="18">
        <f t="shared" si="201"/>
        <v>0.99999960492445128</v>
      </c>
      <c r="AJ284" s="18">
        <f t="shared" si="202"/>
        <v>3.9507554876408493E-7</v>
      </c>
      <c r="AK284">
        <f t="shared" si="212"/>
        <v>1.335727304912167</v>
      </c>
      <c r="AL284">
        <f t="shared" si="230"/>
        <v>2531161.4528621188</v>
      </c>
      <c r="AM284">
        <f t="shared" si="231"/>
        <v>1590.9624297456301</v>
      </c>
      <c r="AN284">
        <f t="shared" si="232"/>
        <v>1.155736693590788</v>
      </c>
      <c r="AO284">
        <f t="shared" si="203"/>
        <v>4.9577847230631418E-2</v>
      </c>
      <c r="AP284">
        <f t="shared" si="204"/>
        <v>16.313116896103825</v>
      </c>
      <c r="AQ284">
        <f t="shared" si="233"/>
        <v>712.17707612852212</v>
      </c>
      <c r="AV284">
        <f t="shared" si="234"/>
        <v>2.8828127466535249E-15</v>
      </c>
      <c r="AW284">
        <f t="shared" si="235"/>
        <v>5.3691831284223529E-2</v>
      </c>
      <c r="AX284" s="4">
        <f t="shared" si="205"/>
        <v>0.76338884349641722</v>
      </c>
      <c r="AY284" s="1">
        <f t="shared" si="206"/>
        <v>7.0333528897682296E-2</v>
      </c>
      <c r="AZ284">
        <f t="shared" si="207"/>
        <v>-2.6072210585157264E-4</v>
      </c>
      <c r="BA284">
        <f t="shared" si="208"/>
        <v>-1.1528375918523082</v>
      </c>
      <c r="BB284">
        <f t="shared" si="209"/>
        <v>-1.2700917831652803</v>
      </c>
      <c r="BC284">
        <f t="shared" si="236"/>
        <v>0.9463081687157765</v>
      </c>
      <c r="BD284">
        <f t="shared" si="237"/>
        <v>9.4630816871577644E-7</v>
      </c>
      <c r="BE284">
        <f t="shared" si="238"/>
        <v>0.53586041185243727</v>
      </c>
      <c r="BF284">
        <f t="shared" si="239"/>
        <v>5.9982817928500157E-14</v>
      </c>
      <c r="BG284">
        <f t="shared" si="240"/>
        <v>6.0777588216328615E-2</v>
      </c>
      <c r="BH284">
        <f t="shared" si="241"/>
        <v>-1.216256537640771</v>
      </c>
      <c r="BI284">
        <f t="shared" si="210"/>
        <v>5.1674650288430879</v>
      </c>
      <c r="BJ284">
        <f t="shared" si="242"/>
        <v>-6.0239674109784351</v>
      </c>
      <c r="BL284">
        <f t="shared" si="211"/>
        <v>23.661115650358276</v>
      </c>
      <c r="BM284" s="4"/>
      <c r="BN284">
        <f t="shared" si="243"/>
        <v>1.9403789420587497E-11</v>
      </c>
      <c r="BO284">
        <f t="shared" si="244"/>
        <v>1.1642273652352499E-6</v>
      </c>
      <c r="BP284">
        <f t="shared" si="245"/>
        <v>59.608441100044793</v>
      </c>
      <c r="BQ284">
        <f t="shared" si="246"/>
        <v>1.7753077641629593</v>
      </c>
      <c r="BR284">
        <f t="shared" si="247"/>
        <v>1.7972051974353558</v>
      </c>
      <c r="BS284">
        <f t="shared" si="248"/>
        <v>9.9346469934404719E-4</v>
      </c>
      <c r="BT284">
        <f t="shared" si="249"/>
        <v>59.607881960642828</v>
      </c>
      <c r="BU284">
        <f t="shared" si="250"/>
        <v>1.7753036903725479</v>
      </c>
      <c r="BV284" s="4"/>
      <c r="BW284" s="4">
        <f t="shared" si="251"/>
        <v>-4.9170676810949088</v>
      </c>
      <c r="BX284" s="4"/>
      <c r="BY284" s="4"/>
      <c r="BZ284" s="4"/>
      <c r="CA284" s="4">
        <f t="shared" si="252"/>
        <v>0.95082932318905089</v>
      </c>
    </row>
    <row r="285" spans="1:79">
      <c r="A285">
        <v>1.4913000000000001</v>
      </c>
      <c r="B285">
        <v>64.447999999999993</v>
      </c>
      <c r="C285">
        <f t="shared" si="213"/>
        <v>2.4912999999999998</v>
      </c>
      <c r="D285">
        <f t="shared" si="214"/>
        <v>1.4912999999999998</v>
      </c>
      <c r="E285">
        <f t="shared" si="215"/>
        <v>149129.99999999997</v>
      </c>
      <c r="F285">
        <f t="shared" si="216"/>
        <v>1112910447.7611938</v>
      </c>
      <c r="G285">
        <f t="shared" si="217"/>
        <v>3.1141249999999996</v>
      </c>
      <c r="H285">
        <f t="shared" si="188"/>
        <v>1.974235784066013</v>
      </c>
      <c r="I285">
        <f t="shared" si="189"/>
        <v>1.0741333333333333E-3</v>
      </c>
      <c r="J285">
        <f t="shared" si="218"/>
        <v>2.0979166666666665E-11</v>
      </c>
      <c r="K285" s="1">
        <f t="shared" si="190"/>
        <v>6.8053753403006789E-2</v>
      </c>
      <c r="L285">
        <f t="shared" si="219"/>
        <v>6.8053753403006788E-8</v>
      </c>
      <c r="M285">
        <f t="shared" si="220"/>
        <v>0.93194624659699321</v>
      </c>
      <c r="N285">
        <f t="shared" si="221"/>
        <v>9.3194624659699313E-7</v>
      </c>
      <c r="O285">
        <f t="shared" si="222"/>
        <v>518.58635729481171</v>
      </c>
      <c r="P285">
        <f t="shared" si="191"/>
        <v>9.665973043912529E-4</v>
      </c>
      <c r="Q285">
        <f t="shared" si="223"/>
        <v>2.262208066085675E-15</v>
      </c>
      <c r="R285">
        <f t="shared" si="224"/>
        <v>1.2023800074037024E-18</v>
      </c>
      <c r="S285">
        <f t="shared" si="192"/>
        <v>1.4687746772411322E-14</v>
      </c>
      <c r="T285">
        <f t="shared" si="193"/>
        <v>7.730393038111222E-18</v>
      </c>
      <c r="U285">
        <f t="shared" si="225"/>
        <v>4.1304464347633456E-13</v>
      </c>
      <c r="V285">
        <f t="shared" si="194"/>
        <v>1.8715635610352941E-5</v>
      </c>
      <c r="W285">
        <f t="shared" si="195"/>
        <v>3.5559707659670592E-2</v>
      </c>
      <c r="X285">
        <f t="shared" si="196"/>
        <v>7.6887658157036824</v>
      </c>
      <c r="Y285">
        <f t="shared" si="197"/>
        <v>6.0499289403855839E-9</v>
      </c>
      <c r="Z285">
        <f t="shared" si="198"/>
        <v>1.0058276871011109</v>
      </c>
      <c r="AA285">
        <f t="shared" si="199"/>
        <v>2.6223958333333332E-11</v>
      </c>
      <c r="AC285">
        <f t="shared" si="200"/>
        <v>0.99944022466984117</v>
      </c>
      <c r="AD285">
        <f t="shared" si="226"/>
        <v>8.3520204473752244</v>
      </c>
      <c r="AE285">
        <f t="shared" si="227"/>
        <v>2.0979174397059702E-11</v>
      </c>
      <c r="AF285">
        <f t="shared" si="228"/>
        <v>15.907297249008417</v>
      </c>
      <c r="AG285">
        <f t="shared" si="229"/>
        <v>146378.67215137885</v>
      </c>
      <c r="AI285" s="18">
        <f t="shared" si="201"/>
        <v>0.99999963152062654</v>
      </c>
      <c r="AJ285" s="18">
        <f t="shared" si="202"/>
        <v>3.6847937348738856E-7</v>
      </c>
      <c r="AK285">
        <f t="shared" si="212"/>
        <v>1.3257623108948862</v>
      </c>
      <c r="AL285">
        <f t="shared" si="230"/>
        <v>2713856.1123129614</v>
      </c>
      <c r="AM285">
        <f t="shared" si="231"/>
        <v>1647.3785576827693</v>
      </c>
      <c r="AN285">
        <f t="shared" si="232"/>
        <v>1.1514175224022285</v>
      </c>
      <c r="AO285">
        <f t="shared" si="203"/>
        <v>4.8765944292586447E-2</v>
      </c>
      <c r="AP285">
        <f t="shared" si="204"/>
        <v>15.907297249008417</v>
      </c>
      <c r="AQ285">
        <f t="shared" si="233"/>
        <v>724.11689051170515</v>
      </c>
      <c r="AV285">
        <f t="shared" si="234"/>
        <v>2.7185230013108948E-15</v>
      </c>
      <c r="AW285">
        <f t="shared" si="235"/>
        <v>5.2139457240279116E-2</v>
      </c>
      <c r="AX285" s="4">
        <f t="shared" si="205"/>
        <v>0.7661510884126409</v>
      </c>
      <c r="AY285" s="1">
        <f t="shared" si="206"/>
        <v>6.8053753403006789E-2</v>
      </c>
      <c r="AZ285">
        <f t="shared" si="207"/>
        <v>-2.4317540514156395E-4</v>
      </c>
      <c r="BA285">
        <f t="shared" si="208"/>
        <v>-1.16714791693734</v>
      </c>
      <c r="BB285">
        <f t="shared" si="209"/>
        <v>-1.2828334940495207</v>
      </c>
      <c r="BC285">
        <f t="shared" si="236"/>
        <v>0.94786054275972087</v>
      </c>
      <c r="BD285">
        <f t="shared" si="237"/>
        <v>9.4786054275972087E-7</v>
      </c>
      <c r="BE285">
        <f t="shared" si="238"/>
        <v>0.53761996150489455</v>
      </c>
      <c r="BF285">
        <f t="shared" si="239"/>
        <v>6.0377383468424951E-14</v>
      </c>
      <c r="BG285">
        <f t="shared" si="240"/>
        <v>6.1177381736174374E-2</v>
      </c>
      <c r="BH285">
        <f t="shared" si="241"/>
        <v>-1.2134091138479728</v>
      </c>
      <c r="BI285">
        <f t="shared" si="210"/>
        <v>5.1735650178586612</v>
      </c>
      <c r="BJ285">
        <f t="shared" si="242"/>
        <v>-6.0232555550302358</v>
      </c>
      <c r="BL285">
        <f t="shared" si="211"/>
        <v>23.384891158735911</v>
      </c>
      <c r="BM285" s="4"/>
      <c r="BN285">
        <f t="shared" si="243"/>
        <v>1.9807696163536488E-11</v>
      </c>
      <c r="BO285">
        <f t="shared" si="244"/>
        <v>1.1884617698121892E-6</v>
      </c>
      <c r="BP285">
        <f t="shared" si="245"/>
        <v>60.849242614384089</v>
      </c>
      <c r="BQ285">
        <f t="shared" si="246"/>
        <v>1.7842551769713306</v>
      </c>
      <c r="BR285">
        <f t="shared" si="247"/>
        <v>1.8092094445375051</v>
      </c>
      <c r="BS285">
        <f t="shared" si="248"/>
        <v>1.014144530600158E-3</v>
      </c>
      <c r="BT285">
        <f t="shared" si="249"/>
        <v>60.84867183600948</v>
      </c>
      <c r="BU285">
        <f t="shared" si="250"/>
        <v>1.7842511031809194</v>
      </c>
      <c r="BV285" s="4"/>
      <c r="BW285" s="4">
        <f t="shared" si="251"/>
        <v>-5.5839706206800903</v>
      </c>
      <c r="BX285" s="4"/>
      <c r="BY285" s="4"/>
      <c r="BZ285" s="4"/>
      <c r="CA285" s="4">
        <f t="shared" si="252"/>
        <v>0.9441602937931991</v>
      </c>
    </row>
    <row r="286" spans="1:79">
      <c r="K286" s="4"/>
      <c r="L286" s="4"/>
      <c r="M286" s="4"/>
      <c r="N286" s="4"/>
      <c r="O286" s="4"/>
      <c r="P286" s="4"/>
      <c r="AW286" s="1" t="s">
        <v>106</v>
      </c>
      <c r="AX286" s="4">
        <f>AVERAGE(AX272:AX285)</f>
        <v>0.74739270035552496</v>
      </c>
      <c r="BK286" s="1" t="s">
        <v>106</v>
      </c>
      <c r="BL286">
        <f>AVERAGE(BL272:BL285)</f>
        <v>25.26072996444751</v>
      </c>
    </row>
    <row r="287" spans="1:79">
      <c r="A287" s="1" t="s">
        <v>107</v>
      </c>
      <c r="K287" s="4"/>
      <c r="L287" s="4"/>
      <c r="M287" s="4"/>
      <c r="N287" s="4"/>
      <c r="O287" s="4"/>
      <c r="P287" s="4"/>
      <c r="AW287" s="1" t="s">
        <v>108</v>
      </c>
      <c r="AX287" s="4">
        <f>_xlfn.VAR.S(AX272:AX285)</f>
        <v>1.2399175967487845E-4</v>
      </c>
      <c r="BK287" s="1" t="s">
        <v>108</v>
      </c>
      <c r="BL287">
        <f>_xlfn.VAR.S(BL272:BL285)</f>
        <v>1.2399175967487868</v>
      </c>
    </row>
    <row r="288" spans="1:79">
      <c r="A288" t="s">
        <v>28</v>
      </c>
      <c r="B288" t="s">
        <v>29</v>
      </c>
      <c r="C288" t="s">
        <v>51</v>
      </c>
      <c r="D288" t="s">
        <v>52</v>
      </c>
      <c r="E288" t="s">
        <v>53</v>
      </c>
      <c r="F288" s="3" t="s">
        <v>54</v>
      </c>
      <c r="G288" t="s">
        <v>55</v>
      </c>
      <c r="H288" t="s">
        <v>56</v>
      </c>
      <c r="I288" t="s">
        <v>57</v>
      </c>
      <c r="J288" t="s">
        <v>58</v>
      </c>
      <c r="K288" s="4"/>
      <c r="L288" s="4"/>
      <c r="M288" s="4"/>
      <c r="N288" s="4"/>
      <c r="O288" s="4"/>
      <c r="P288" s="4"/>
      <c r="AW288" s="1" t="s">
        <v>109</v>
      </c>
      <c r="AX288">
        <f>AX287^0.5</f>
        <v>1.1135158717992234E-2</v>
      </c>
      <c r="BK288" s="1" t="s">
        <v>109</v>
      </c>
      <c r="BL288">
        <f>BL287^0.5</f>
        <v>1.1135158717992244</v>
      </c>
    </row>
    <row r="289" spans="1:50">
      <c r="A289">
        <v>1.2342</v>
      </c>
      <c r="B289">
        <v>67.415000000000006</v>
      </c>
      <c r="C289">
        <f>A289+1</f>
        <v>2.2342</v>
      </c>
      <c r="D289">
        <f>C289-1</f>
        <v>1.2342</v>
      </c>
      <c r="E289">
        <f>D289*100000</f>
        <v>123420</v>
      </c>
      <c r="F289">
        <f>E289/(0.000134)</f>
        <v>921044776.119403</v>
      </c>
      <c r="G289">
        <f>1.25*C289/1</f>
        <v>2.7927499999999998</v>
      </c>
      <c r="H289">
        <f t="shared" ref="H289:H302" si="253">(((((C289+1)*100000)/2)*28.02)/(8.314*298))/1000</f>
        <v>1.8288526831914471</v>
      </c>
      <c r="I289">
        <f t="shared" ref="I289:I302" si="254">B289/60000</f>
        <v>1.1235833333333334E-3</v>
      </c>
      <c r="J289">
        <f>I289/51200000</f>
        <v>2.1944986979166668E-11</v>
      </c>
      <c r="K289" s="4"/>
      <c r="L289" s="4"/>
      <c r="M289" s="4"/>
      <c r="N289" s="4"/>
      <c r="O289" s="4"/>
      <c r="P289" s="4"/>
      <c r="AW289" s="1" t="s">
        <v>110</v>
      </c>
      <c r="AX289">
        <f>AX288*100</f>
        <v>1.1135158717992235</v>
      </c>
    </row>
    <row r="290" spans="1:50">
      <c r="A290" s="1">
        <v>1.2555000000000001</v>
      </c>
      <c r="B290" s="1">
        <v>68.488</v>
      </c>
      <c r="C290">
        <f>A290+1</f>
        <v>2.2555000000000001</v>
      </c>
      <c r="D290">
        <f>C290-1</f>
        <v>1.2555000000000001</v>
      </c>
      <c r="E290">
        <f>D290*100000</f>
        <v>125550</v>
      </c>
      <c r="F290">
        <f>E290/(0.000134)</f>
        <v>936940298.50746262</v>
      </c>
      <c r="G290">
        <f>1.25*C290/1</f>
        <v>2.819375</v>
      </c>
      <c r="H290">
        <f t="shared" si="253"/>
        <v>1.840897257476271</v>
      </c>
      <c r="I290">
        <f t="shared" si="254"/>
        <v>1.1414666666666666E-3</v>
      </c>
      <c r="J290">
        <f>I290/51200000</f>
        <v>2.2294270833333331E-11</v>
      </c>
      <c r="K290" s="4"/>
      <c r="L290" s="4"/>
      <c r="M290" s="4"/>
      <c r="N290" s="4"/>
      <c r="O290" s="4"/>
      <c r="P290" s="4"/>
    </row>
    <row r="291" spans="1:50">
      <c r="A291">
        <v>1.2722</v>
      </c>
      <c r="B291">
        <v>69.978999999999999</v>
      </c>
      <c r="C291">
        <f t="shared" ref="C291:C302" si="255">A291+1</f>
        <v>2.2721999999999998</v>
      </c>
      <c r="D291">
        <f t="shared" ref="D291:D302" si="256">C291-1</f>
        <v>1.2721999999999998</v>
      </c>
      <c r="E291">
        <f t="shared" ref="E291:E302" si="257">D291*100000</f>
        <v>127219.99999999997</v>
      </c>
      <c r="F291">
        <f t="shared" ref="F291:F302" si="258">E291/(0.000134)</f>
        <v>949402985.07462656</v>
      </c>
      <c r="G291">
        <f t="shared" ref="G291:G302" si="259">1.25*C291/1</f>
        <v>2.8402499999999997</v>
      </c>
      <c r="H291">
        <f t="shared" si="253"/>
        <v>1.8503406560939499</v>
      </c>
      <c r="I291">
        <f t="shared" si="254"/>
        <v>1.1663166666666667E-3</v>
      </c>
      <c r="J291">
        <f t="shared" ref="J291:J302" si="260">I291/51200000</f>
        <v>2.2779622395833333E-11</v>
      </c>
    </row>
    <row r="292" spans="1:50">
      <c r="A292">
        <v>1.292</v>
      </c>
      <c r="B292">
        <v>71.337000000000003</v>
      </c>
      <c r="C292">
        <f t="shared" si="255"/>
        <v>2.2919999999999998</v>
      </c>
      <c r="D292">
        <f t="shared" si="256"/>
        <v>1.2919999999999998</v>
      </c>
      <c r="E292">
        <f t="shared" si="257"/>
        <v>129199.99999999999</v>
      </c>
      <c r="F292">
        <f t="shared" si="258"/>
        <v>964179104.47761178</v>
      </c>
      <c r="G292">
        <f t="shared" si="259"/>
        <v>2.8649999999999998</v>
      </c>
      <c r="H292">
        <f t="shared" si="253"/>
        <v>1.8615370209220963</v>
      </c>
      <c r="I292">
        <f t="shared" si="254"/>
        <v>1.18895E-3</v>
      </c>
      <c r="J292">
        <f t="shared" si="260"/>
        <v>2.3221679687500001E-11</v>
      </c>
    </row>
    <row r="293" spans="1:50">
      <c r="A293">
        <v>1.3113999999999999</v>
      </c>
      <c r="B293">
        <v>72.914000000000001</v>
      </c>
      <c r="C293">
        <f t="shared" si="255"/>
        <v>2.3113999999999999</v>
      </c>
      <c r="D293">
        <f t="shared" si="256"/>
        <v>1.3113999999999999</v>
      </c>
      <c r="E293">
        <f t="shared" si="257"/>
        <v>131140</v>
      </c>
      <c r="F293">
        <f t="shared" si="258"/>
        <v>978656716.41791046</v>
      </c>
      <c r="G293">
        <f t="shared" si="259"/>
        <v>2.8892499999999997</v>
      </c>
      <c r="H293">
        <f t="shared" si="253"/>
        <v>1.8725071965617952</v>
      </c>
      <c r="I293">
        <f t="shared" si="254"/>
        <v>1.2152333333333334E-3</v>
      </c>
      <c r="J293">
        <f t="shared" si="260"/>
        <v>2.3735026041666669E-11</v>
      </c>
    </row>
    <row r="294" spans="1:50">
      <c r="A294">
        <v>1.3324</v>
      </c>
      <c r="B294">
        <v>74.209999999999994</v>
      </c>
      <c r="C294">
        <f t="shared" si="255"/>
        <v>2.3323999999999998</v>
      </c>
      <c r="D294">
        <f t="shared" si="256"/>
        <v>1.3323999999999998</v>
      </c>
      <c r="E294">
        <f t="shared" si="257"/>
        <v>133239.99999999997</v>
      </c>
      <c r="F294">
        <f t="shared" si="258"/>
        <v>994328358.20895493</v>
      </c>
      <c r="G294">
        <f t="shared" si="259"/>
        <v>2.9154999999999998</v>
      </c>
      <c r="H294">
        <f t="shared" si="253"/>
        <v>1.8843821289552836</v>
      </c>
      <c r="I294">
        <f t="shared" si="254"/>
        <v>1.2368333333333333E-3</v>
      </c>
      <c r="J294">
        <f t="shared" si="260"/>
        <v>2.4156901041666666E-11</v>
      </c>
    </row>
    <row r="295" spans="1:50">
      <c r="A295">
        <v>1.3512999999999999</v>
      </c>
      <c r="B295">
        <v>75.769000000000005</v>
      </c>
      <c r="C295">
        <f t="shared" si="255"/>
        <v>2.3513000000000002</v>
      </c>
      <c r="D295">
        <f t="shared" si="256"/>
        <v>1.3513000000000002</v>
      </c>
      <c r="E295">
        <f t="shared" si="257"/>
        <v>135130.00000000003</v>
      </c>
      <c r="F295">
        <f t="shared" si="258"/>
        <v>1008432835.8208957</v>
      </c>
      <c r="G295">
        <f t="shared" si="259"/>
        <v>2.9391250000000002</v>
      </c>
      <c r="H295">
        <f t="shared" si="253"/>
        <v>1.895069568109423</v>
      </c>
      <c r="I295">
        <f t="shared" si="254"/>
        <v>1.2628166666666667E-3</v>
      </c>
      <c r="J295">
        <f t="shared" si="260"/>
        <v>2.4664388020833334E-11</v>
      </c>
    </row>
    <row r="296" spans="1:50">
      <c r="A296">
        <v>1.3752</v>
      </c>
      <c r="B296">
        <v>77.006</v>
      </c>
      <c r="C296">
        <f t="shared" si="255"/>
        <v>2.3752</v>
      </c>
      <c r="D296">
        <f t="shared" si="256"/>
        <v>1.3752</v>
      </c>
      <c r="E296">
        <f t="shared" si="257"/>
        <v>137520</v>
      </c>
      <c r="F296">
        <f t="shared" si="258"/>
        <v>1026268656.7164179</v>
      </c>
      <c r="G296">
        <f t="shared" si="259"/>
        <v>2.9689999999999999</v>
      </c>
      <c r="H296">
        <f t="shared" si="253"/>
        <v>1.9085843721191553</v>
      </c>
      <c r="I296">
        <f t="shared" si="254"/>
        <v>1.2834333333333334E-3</v>
      </c>
      <c r="J296">
        <f t="shared" si="260"/>
        <v>2.5067057291666667E-11</v>
      </c>
    </row>
    <row r="297" spans="1:50">
      <c r="A297">
        <v>1.3912</v>
      </c>
      <c r="B297">
        <v>78.424000000000007</v>
      </c>
      <c r="C297">
        <f t="shared" si="255"/>
        <v>2.3912</v>
      </c>
      <c r="D297">
        <f t="shared" si="256"/>
        <v>1.3912</v>
      </c>
      <c r="E297">
        <f t="shared" si="257"/>
        <v>139120</v>
      </c>
      <c r="F297">
        <f t="shared" si="258"/>
        <v>1038208955.2238805</v>
      </c>
      <c r="G297">
        <f t="shared" si="259"/>
        <v>2.9889999999999999</v>
      </c>
      <c r="H297">
        <f t="shared" si="253"/>
        <v>1.9176319396570514</v>
      </c>
      <c r="I297">
        <f t="shared" si="254"/>
        <v>1.3070666666666667E-3</v>
      </c>
      <c r="J297">
        <f t="shared" si="260"/>
        <v>2.5528645833333335E-11</v>
      </c>
    </row>
    <row r="298" spans="1:50">
      <c r="A298">
        <v>1.4136</v>
      </c>
      <c r="B298">
        <v>79.900000000000006</v>
      </c>
      <c r="C298">
        <f t="shared" si="255"/>
        <v>2.4135999999999997</v>
      </c>
      <c r="D298">
        <f t="shared" si="256"/>
        <v>1.4135999999999997</v>
      </c>
      <c r="E298">
        <f t="shared" si="257"/>
        <v>141359.99999999997</v>
      </c>
      <c r="F298">
        <f t="shared" si="258"/>
        <v>1054925373.1343281</v>
      </c>
      <c r="G298">
        <f t="shared" si="259"/>
        <v>3.0169999999999995</v>
      </c>
      <c r="H298">
        <f t="shared" si="253"/>
        <v>1.9302985342101056</v>
      </c>
      <c r="I298">
        <f t="shared" si="254"/>
        <v>1.3316666666666668E-3</v>
      </c>
      <c r="J298">
        <f t="shared" si="260"/>
        <v>2.6009114583333334E-11</v>
      </c>
    </row>
    <row r="299" spans="1:50">
      <c r="A299">
        <v>1.4311</v>
      </c>
      <c r="B299">
        <v>81.25</v>
      </c>
      <c r="C299">
        <f t="shared" si="255"/>
        <v>2.4310999999999998</v>
      </c>
      <c r="D299">
        <f t="shared" si="256"/>
        <v>1.4310999999999998</v>
      </c>
      <c r="E299">
        <f t="shared" si="257"/>
        <v>143109.99999999997</v>
      </c>
      <c r="F299">
        <f t="shared" si="258"/>
        <v>1067985074.6268654</v>
      </c>
      <c r="G299">
        <f t="shared" si="259"/>
        <v>3.038875</v>
      </c>
      <c r="H299">
        <f t="shared" si="253"/>
        <v>1.9401943112046793</v>
      </c>
      <c r="I299">
        <f t="shared" si="254"/>
        <v>1.3541666666666667E-3</v>
      </c>
      <c r="J299">
        <f t="shared" si="260"/>
        <v>2.6448567708333334E-11</v>
      </c>
    </row>
    <row r="300" spans="1:50">
      <c r="A300">
        <v>1.4521999999999999</v>
      </c>
      <c r="B300">
        <v>82.677999999999997</v>
      </c>
      <c r="C300">
        <f t="shared" si="255"/>
        <v>2.4521999999999999</v>
      </c>
      <c r="D300">
        <f t="shared" si="256"/>
        <v>1.4521999999999999</v>
      </c>
      <c r="E300">
        <f t="shared" si="257"/>
        <v>145220</v>
      </c>
      <c r="F300">
        <f t="shared" si="258"/>
        <v>1083731343.283582</v>
      </c>
      <c r="G300">
        <f t="shared" si="259"/>
        <v>3.0652499999999998</v>
      </c>
      <c r="H300">
        <f t="shared" si="253"/>
        <v>1.9521257908952798</v>
      </c>
      <c r="I300">
        <f t="shared" si="254"/>
        <v>1.3779666666666665E-3</v>
      </c>
      <c r="J300">
        <f t="shared" si="260"/>
        <v>2.6913411458333331E-11</v>
      </c>
    </row>
    <row r="301" spans="1:50">
      <c r="A301">
        <v>1.4738</v>
      </c>
      <c r="B301">
        <v>83.926000000000002</v>
      </c>
      <c r="C301">
        <f t="shared" si="255"/>
        <v>2.4737999999999998</v>
      </c>
      <c r="D301">
        <f t="shared" si="256"/>
        <v>1.4737999999999998</v>
      </c>
      <c r="E301">
        <f t="shared" si="257"/>
        <v>147379.99999999997</v>
      </c>
      <c r="F301">
        <f t="shared" si="258"/>
        <v>1099850746.2686565</v>
      </c>
      <c r="G301">
        <f t="shared" si="259"/>
        <v>3.0922499999999999</v>
      </c>
      <c r="H301">
        <f t="shared" si="253"/>
        <v>1.9643400070714392</v>
      </c>
      <c r="I301">
        <f t="shared" si="254"/>
        <v>1.3987666666666666E-3</v>
      </c>
      <c r="J301">
        <f t="shared" si="260"/>
        <v>2.7319661458333333E-11</v>
      </c>
    </row>
    <row r="302" spans="1:50">
      <c r="A302">
        <v>1.4912000000000001</v>
      </c>
      <c r="B302">
        <v>85.436999999999998</v>
      </c>
      <c r="C302">
        <f t="shared" si="255"/>
        <v>2.4912000000000001</v>
      </c>
      <c r="D302">
        <f t="shared" si="256"/>
        <v>1.4912000000000001</v>
      </c>
      <c r="E302">
        <f t="shared" si="257"/>
        <v>149120</v>
      </c>
      <c r="F302">
        <f t="shared" si="258"/>
        <v>1112835820.8955224</v>
      </c>
      <c r="G302">
        <f t="shared" si="259"/>
        <v>3.1139999999999999</v>
      </c>
      <c r="H302">
        <f t="shared" si="253"/>
        <v>1.9741792367689011</v>
      </c>
      <c r="I302">
        <f t="shared" si="254"/>
        <v>1.42395E-3</v>
      </c>
      <c r="J302">
        <f t="shared" si="260"/>
        <v>2.78115234375E-11</v>
      </c>
    </row>
    <row r="304" spans="1:50">
      <c r="A304" s="8" t="s">
        <v>146</v>
      </c>
    </row>
    <row r="305" spans="1:48">
      <c r="A305" s="1" t="s">
        <v>49</v>
      </c>
      <c r="K305" s="9" t="s">
        <v>50</v>
      </c>
      <c r="L305" s="9"/>
      <c r="M305" s="9"/>
      <c r="AK305" s="15" t="s">
        <v>117</v>
      </c>
      <c r="AP305" s="15" t="s">
        <v>118</v>
      </c>
    </row>
    <row r="306" spans="1:48">
      <c r="A306" t="s">
        <v>44</v>
      </c>
      <c r="B306" t="s">
        <v>45</v>
      </c>
      <c r="C306" t="s">
        <v>51</v>
      </c>
      <c r="D306" t="s">
        <v>52</v>
      </c>
      <c r="E306" t="s">
        <v>53</v>
      </c>
      <c r="F306" s="3" t="s">
        <v>54</v>
      </c>
      <c r="G306" t="s">
        <v>55</v>
      </c>
      <c r="H306" t="s">
        <v>56</v>
      </c>
      <c r="I306" t="s">
        <v>57</v>
      </c>
      <c r="J306" t="s">
        <v>58</v>
      </c>
      <c r="K306" s="1" t="s">
        <v>59</v>
      </c>
      <c r="L306" t="s">
        <v>60</v>
      </c>
      <c r="M306" t="s">
        <v>61</v>
      </c>
      <c r="N306" t="s">
        <v>62</v>
      </c>
      <c r="O306" t="s">
        <v>147</v>
      </c>
      <c r="P306" t="s">
        <v>148</v>
      </c>
      <c r="Q306" s="1" t="s">
        <v>149</v>
      </c>
      <c r="R306" s="1" t="s">
        <v>59</v>
      </c>
      <c r="S306" t="s">
        <v>36</v>
      </c>
      <c r="T306" t="s">
        <v>150</v>
      </c>
      <c r="U306" t="s">
        <v>151</v>
      </c>
      <c r="V306" s="3" t="s">
        <v>131</v>
      </c>
      <c r="W306" s="3" t="s">
        <v>132</v>
      </c>
      <c r="X306" s="3" t="s">
        <v>133</v>
      </c>
      <c r="Y306" s="3" t="s">
        <v>37</v>
      </c>
      <c r="AA306" t="s">
        <v>136</v>
      </c>
      <c r="AD306" s="19" t="s">
        <v>52</v>
      </c>
      <c r="AE306" t="s">
        <v>101</v>
      </c>
      <c r="AG306" t="s">
        <v>152</v>
      </c>
      <c r="AK306" t="s">
        <v>137</v>
      </c>
      <c r="AL306" t="s">
        <v>138</v>
      </c>
      <c r="AM306" t="s">
        <v>139</v>
      </c>
      <c r="AN306" t="s">
        <v>140</v>
      </c>
      <c r="AO306" t="s">
        <v>141</v>
      </c>
      <c r="AP306" t="s">
        <v>142</v>
      </c>
      <c r="AQ306" t="s">
        <v>143</v>
      </c>
      <c r="AR306" t="s">
        <v>140</v>
      </c>
      <c r="AT306" t="s">
        <v>144</v>
      </c>
      <c r="AV306" t="s">
        <v>145</v>
      </c>
    </row>
    <row r="307" spans="1:48">
      <c r="A307" s="1">
        <v>1.2323999999999999</v>
      </c>
      <c r="B307" s="1">
        <v>46.088000000000001</v>
      </c>
      <c r="C307">
        <f>A307+1</f>
        <v>2.2324000000000002</v>
      </c>
      <c r="D307">
        <f>C307-1</f>
        <v>1.2324000000000002</v>
      </c>
      <c r="E307">
        <f>D307*100000</f>
        <v>123240.00000000001</v>
      </c>
      <c r="F307">
        <f>E307/(0.000134)</f>
        <v>919701492.53731346</v>
      </c>
      <c r="G307">
        <f>1.25*C307/1</f>
        <v>2.7905000000000002</v>
      </c>
      <c r="H307">
        <f t="shared" ref="H307:H320" si="261">(((((C307+1)*100000)/2)*28.02)/(8.314*298))/1000</f>
        <v>1.8278348318434339</v>
      </c>
      <c r="I307">
        <f t="shared" ref="I307:I320" si="262">B307/60000</f>
        <v>7.6813333333333332E-4</v>
      </c>
      <c r="J307">
        <f>I307/51200000</f>
        <v>1.5002604166666667E-11</v>
      </c>
      <c r="K307" s="1">
        <f t="shared" ref="K307:K320" si="263">1-(((J307/J324)^0.25)*1)</f>
        <v>9.0698660521658203E-2</v>
      </c>
      <c r="L307">
        <f>K307*10^-6</f>
        <v>9.0698660521658205E-8</v>
      </c>
      <c r="M307">
        <f>1-K307</f>
        <v>0.9093013394783418</v>
      </c>
      <c r="N307">
        <f>M307*10^-6</f>
        <v>9.0930133947834175E-7</v>
      </c>
      <c r="O307">
        <f t="shared" ref="O307:O320" si="264">(128*1.25*0.000134*J307*0.00001781)/(PI()*H307*E307)</f>
        <v>8.0949997536128888E-24</v>
      </c>
      <c r="P307">
        <f t="shared" ref="P307:P320" si="265">(O307^0.25)/2</f>
        <v>8.4338177962180754E-7</v>
      </c>
      <c r="Q307" s="1">
        <f t="shared" ref="Q307:Q320" si="266">P307*10^6</f>
        <v>0.84338177962180749</v>
      </c>
      <c r="R307" s="1">
        <f>1-Q307</f>
        <v>0.15661822037819251</v>
      </c>
      <c r="S307">
        <f t="shared" ref="S307:S320" si="267">LOG(F307)</f>
        <v>8.9636468912800957</v>
      </c>
      <c r="T307">
        <f t="shared" ref="T307:T320" si="268">LOG(N307)</f>
        <v>-6.0412921691594725</v>
      </c>
      <c r="U307">
        <f t="shared" ref="U307:U320" si="269">LOG(P307)</f>
        <v>-6.073975785696283</v>
      </c>
      <c r="V307">
        <f t="shared" ref="V307:V320" si="270">(51200000*PI()*(P307^2))/((PI()*((0.0185)^2))/4)</f>
        <v>0.42563263931441941</v>
      </c>
      <c r="W307">
        <f t="shared" ref="W307:W320" si="271">(V307*(P307^2))/8</f>
        <v>3.7843680367510927E-14</v>
      </c>
      <c r="X307">
        <f t="shared" ref="X307:X320" si="272">W307/(0.0000000000009869233)</f>
        <v>3.8345107839191685E-2</v>
      </c>
      <c r="Y307">
        <f t="shared" ref="Y307:Y320" si="273">LOG(X307)</f>
        <v>-1.4162900365121607</v>
      </c>
      <c r="AA307">
        <f t="shared" ref="AA307:AA320" si="274">((K307-R307)/K307)*100</f>
        <v>-72.679750149996067</v>
      </c>
      <c r="AD307">
        <f t="shared" ref="AD307:AD320" si="275">C307-1</f>
        <v>1.2324000000000002</v>
      </c>
      <c r="AE307">
        <f t="shared" ref="AE307:AE320" si="276">R307/K307</f>
        <v>1.7267975014999608</v>
      </c>
      <c r="AG307">
        <f t="shared" ref="AG307:AG320" si="277">LOG(R307)</f>
        <v>-0.80515771514267076</v>
      </c>
      <c r="AK307">
        <f t="shared" ref="AK307:AK320" si="278">(((P307^4)*PI())/(8*0.00001781*0.000134))*F307</f>
        <v>7.6565816175352502E-8</v>
      </c>
      <c r="AL307">
        <f t="shared" ref="AL307:AL320" si="279">AK307*60000</f>
        <v>4.59394897052115E-3</v>
      </c>
      <c r="AM307">
        <f>AL307*51200000</f>
        <v>235210.18729068289</v>
      </c>
      <c r="AN307">
        <f t="shared" ref="AN307:AN320" si="280">LOG(AM307)</f>
        <v>5.3714561277285764</v>
      </c>
      <c r="AO307">
        <f t="shared" ref="AO307:AO320" si="281">LOG(B307)</f>
        <v>1.6635878622184703</v>
      </c>
      <c r="AP307">
        <f t="shared" ref="AP307:AP320" si="282">((W307*0.0002688)/(0.00001781*0.000134))*F307</f>
        <v>3.9201330161814907</v>
      </c>
      <c r="AQ307">
        <f t="shared" ref="AQ307:AQ320" si="283">AP307*60000</f>
        <v>235207.98097088945</v>
      </c>
      <c r="AR307">
        <f t="shared" ref="AR307:AR320" si="284">LOG(AQ307)</f>
        <v>5.3714520539381656</v>
      </c>
      <c r="AT307">
        <f t="shared" ref="AT307:AT320" si="285">((AM307-B307)/(B307))*100</f>
        <v>510250.17204192607</v>
      </c>
      <c r="AV307">
        <f t="shared" ref="AV307:AV320" si="286">AM307/B307</f>
        <v>5103.5017204192609</v>
      </c>
    </row>
    <row r="308" spans="1:48">
      <c r="A308">
        <v>1.2519</v>
      </c>
      <c r="B308">
        <v>47.828000000000003</v>
      </c>
      <c r="C308">
        <f>A308+1</f>
        <v>2.2519</v>
      </c>
      <c r="D308">
        <f>C308-1</f>
        <v>1.2519</v>
      </c>
      <c r="E308">
        <f>D308*100000</f>
        <v>125190</v>
      </c>
      <c r="F308">
        <f>E308/(0.000134)</f>
        <v>934253731.34328353</v>
      </c>
      <c r="G308">
        <f>1.25*C308/1</f>
        <v>2.8148749999999998</v>
      </c>
      <c r="H308">
        <f t="shared" si="261"/>
        <v>1.8388615547802447</v>
      </c>
      <c r="I308">
        <f t="shared" si="262"/>
        <v>7.9713333333333337E-4</v>
      </c>
      <c r="J308">
        <f>I308/51200000</f>
        <v>1.5569010416666667E-11</v>
      </c>
      <c r="K308" s="1">
        <f t="shared" si="263"/>
        <v>8.5851114474405188E-2</v>
      </c>
      <c r="L308">
        <f>K308*10^-6</f>
        <v>8.585111447440519E-8</v>
      </c>
      <c r="M308">
        <f>1-K308</f>
        <v>0.91414888552559481</v>
      </c>
      <c r="N308">
        <f>M308*10^-6</f>
        <v>9.1414888552559479E-7</v>
      </c>
      <c r="O308">
        <f t="shared" si="264"/>
        <v>8.2201769142283335E-24</v>
      </c>
      <c r="P308">
        <f t="shared" si="265"/>
        <v>8.4662345380957961E-7</v>
      </c>
      <c r="Q308" s="1">
        <f t="shared" si="266"/>
        <v>0.8466234538095796</v>
      </c>
      <c r="R308" s="1">
        <f>1-Q308</f>
        <v>0.1533765461904204</v>
      </c>
      <c r="S308">
        <f t="shared" si="267"/>
        <v>8.9704648410665637</v>
      </c>
      <c r="T308">
        <f t="shared" si="268"/>
        <v>-6.0389830658675008</v>
      </c>
      <c r="U308">
        <f t="shared" si="269"/>
        <v>-6.0723097045378998</v>
      </c>
      <c r="V308">
        <f t="shared" si="270"/>
        <v>0.42891090318856534</v>
      </c>
      <c r="W308">
        <f t="shared" si="271"/>
        <v>3.8428876735618323E-14</v>
      </c>
      <c r="X308">
        <f t="shared" si="272"/>
        <v>3.8938058039179255E-2</v>
      </c>
      <c r="Y308">
        <f t="shared" si="273"/>
        <v>-1.4096257118786277</v>
      </c>
      <c r="AA308">
        <f t="shared" si="274"/>
        <v>-78.654111981442696</v>
      </c>
      <c r="AD308">
        <f t="shared" si="275"/>
        <v>1.2519</v>
      </c>
      <c r="AE308">
        <f t="shared" si="276"/>
        <v>1.786541119814427</v>
      </c>
      <c r="AG308">
        <f t="shared" si="277"/>
        <v>-0.81424104611607007</v>
      </c>
      <c r="AK308">
        <f t="shared" si="278"/>
        <v>7.8980011164015327E-8</v>
      </c>
      <c r="AL308">
        <f t="shared" si="279"/>
        <v>4.7388006698409193E-3</v>
      </c>
      <c r="AM308">
        <f>AL308*51200000</f>
        <v>242626.59429585506</v>
      </c>
      <c r="AN308">
        <f t="shared" si="280"/>
        <v>5.3849384021485776</v>
      </c>
      <c r="AO308">
        <f t="shared" si="281"/>
        <v>1.679682220572482</v>
      </c>
      <c r="AP308">
        <f t="shared" si="282"/>
        <v>4.0437386401440492</v>
      </c>
      <c r="AQ308">
        <f t="shared" si="283"/>
        <v>242624.31840864295</v>
      </c>
      <c r="AR308">
        <f t="shared" si="284"/>
        <v>5.3849343283581668</v>
      </c>
      <c r="AT308">
        <f t="shared" si="285"/>
        <v>507189.86011511052</v>
      </c>
      <c r="AV308">
        <f t="shared" si="286"/>
        <v>5072.8986011511051</v>
      </c>
    </row>
    <row r="309" spans="1:48">
      <c r="A309">
        <v>1.2727999999999999</v>
      </c>
      <c r="B309">
        <v>49.258000000000003</v>
      </c>
      <c r="C309">
        <f t="shared" ref="C309:C320" si="287">A309+1</f>
        <v>2.2728000000000002</v>
      </c>
      <c r="D309">
        <f t="shared" ref="D309:D320" si="288">C309-1</f>
        <v>1.2728000000000002</v>
      </c>
      <c r="E309">
        <f t="shared" ref="E309:E320" si="289">D309*100000</f>
        <v>127280.00000000001</v>
      </c>
      <c r="F309">
        <f t="shared" ref="F309:F320" si="290">E309/(0.000134)</f>
        <v>949850746.26865685</v>
      </c>
      <c r="G309">
        <f t="shared" ref="G309:G320" si="291">1.25*C309/1</f>
        <v>2.8410000000000002</v>
      </c>
      <c r="H309">
        <f t="shared" si="261"/>
        <v>1.8506799398766209</v>
      </c>
      <c r="I309">
        <f t="shared" si="262"/>
        <v>8.2096666666666676E-4</v>
      </c>
      <c r="J309">
        <f t="shared" ref="J309:J320" si="292">I309/51200000</f>
        <v>1.6034505208333336E-11</v>
      </c>
      <c r="K309" s="1">
        <f t="shared" si="263"/>
        <v>8.4038413677360868E-2</v>
      </c>
      <c r="L309">
        <f t="shared" ref="L309:L320" si="293">K309*10^-6</f>
        <v>8.403841367736087E-8</v>
      </c>
      <c r="M309">
        <f t="shared" ref="M309:M320" si="294">1-K309</f>
        <v>0.91596158632263913</v>
      </c>
      <c r="N309">
        <f t="shared" ref="N309:N320" si="295">M309*10^-6</f>
        <v>9.1596158632263907E-7</v>
      </c>
      <c r="O309">
        <f t="shared" si="264"/>
        <v>8.2737597649299505E-24</v>
      </c>
      <c r="P309">
        <f t="shared" si="265"/>
        <v>8.4799976323879146E-7</v>
      </c>
      <c r="Q309" s="1">
        <f t="shared" si="266"/>
        <v>0.84799976323879145</v>
      </c>
      <c r="R309" s="1">
        <f t="shared" ref="R309:R320" si="296">1-Q309</f>
        <v>0.15200023676120855</v>
      </c>
      <c r="S309">
        <f t="shared" si="267"/>
        <v>8.9776553682737177</v>
      </c>
      <c r="T309">
        <f t="shared" si="268"/>
        <v>-6.0381227394303219</v>
      </c>
      <c r="U309">
        <f t="shared" si="269"/>
        <v>-6.0716042689981222</v>
      </c>
      <c r="V309">
        <f t="shared" si="270"/>
        <v>0.43030655065941242</v>
      </c>
      <c r="W309">
        <f t="shared" si="271"/>
        <v>3.8679373627137697E-14</v>
      </c>
      <c r="X309">
        <f t="shared" si="272"/>
        <v>3.9191874005951317E-2</v>
      </c>
      <c r="Y309">
        <f t="shared" si="273"/>
        <v>-1.4068039697195165</v>
      </c>
      <c r="AA309">
        <f t="shared" si="274"/>
        <v>-80.869949954988186</v>
      </c>
      <c r="AD309">
        <f t="shared" si="275"/>
        <v>1.2728000000000002</v>
      </c>
      <c r="AE309">
        <f t="shared" si="276"/>
        <v>1.808699499549882</v>
      </c>
      <c r="AG309">
        <f t="shared" si="277"/>
        <v>-0.81815573558150168</v>
      </c>
      <c r="AK309">
        <f t="shared" si="278"/>
        <v>8.0821975244764764E-8</v>
      </c>
      <c r="AL309">
        <f t="shared" si="279"/>
        <v>4.849318514685886E-3</v>
      </c>
      <c r="AM309">
        <f t="shared" ref="AM309:AM320" si="297">AL309*51200000</f>
        <v>248285.10795191737</v>
      </c>
      <c r="AN309">
        <f t="shared" si="280"/>
        <v>5.3949506715148434</v>
      </c>
      <c r="AO309">
        <f t="shared" si="281"/>
        <v>1.6924767744012366</v>
      </c>
      <c r="AP309">
        <f t="shared" si="282"/>
        <v>4.1380463164447798</v>
      </c>
      <c r="AQ309">
        <f t="shared" si="283"/>
        <v>248282.77898668678</v>
      </c>
      <c r="AR309">
        <f t="shared" si="284"/>
        <v>5.3949465977244317</v>
      </c>
      <c r="AT309">
        <f t="shared" si="285"/>
        <v>503950.3226925928</v>
      </c>
      <c r="AV309">
        <f t="shared" si="286"/>
        <v>5040.5032269259282</v>
      </c>
    </row>
    <row r="310" spans="1:48">
      <c r="A310">
        <v>1.2926</v>
      </c>
      <c r="B310">
        <v>50.552</v>
      </c>
      <c r="C310">
        <f t="shared" si="287"/>
        <v>2.2926000000000002</v>
      </c>
      <c r="D310">
        <f t="shared" si="288"/>
        <v>1.2926000000000002</v>
      </c>
      <c r="E310">
        <f t="shared" si="289"/>
        <v>129260.00000000001</v>
      </c>
      <c r="F310">
        <f t="shared" si="290"/>
        <v>964626865.67164183</v>
      </c>
      <c r="G310">
        <f t="shared" si="291"/>
        <v>2.8657500000000002</v>
      </c>
      <c r="H310">
        <f t="shared" si="261"/>
        <v>1.8618763047047671</v>
      </c>
      <c r="I310">
        <f t="shared" si="262"/>
        <v>8.4253333333333329E-4</v>
      </c>
      <c r="J310">
        <f t="shared" si="292"/>
        <v>1.6455729166666667E-11</v>
      </c>
      <c r="K310" s="1">
        <f t="shared" si="263"/>
        <v>8.250041774157002E-2</v>
      </c>
      <c r="L310">
        <f t="shared" si="293"/>
        <v>8.2500417741570021E-8</v>
      </c>
      <c r="M310">
        <f t="shared" si="294"/>
        <v>0.91749958225842998</v>
      </c>
      <c r="N310">
        <f t="shared" si="295"/>
        <v>9.1749958225842993E-7</v>
      </c>
      <c r="O310">
        <f t="shared" si="264"/>
        <v>8.3107646208693538E-24</v>
      </c>
      <c r="P310">
        <f t="shared" si="265"/>
        <v>8.4894635873678024E-7</v>
      </c>
      <c r="Q310" s="1">
        <f t="shared" si="266"/>
        <v>0.84894635873678026</v>
      </c>
      <c r="R310" s="1">
        <f t="shared" si="296"/>
        <v>0.15105364126321974</v>
      </c>
      <c r="S310">
        <f t="shared" si="267"/>
        <v>8.984359353221846</v>
      </c>
      <c r="T310">
        <f t="shared" si="268"/>
        <v>-6.0373941248120042</v>
      </c>
      <c r="U310">
        <f t="shared" si="269"/>
        <v>-6.0711197500865461</v>
      </c>
      <c r="V310">
        <f t="shared" si="270"/>
        <v>0.43126776221635443</v>
      </c>
      <c r="W310">
        <f t="shared" si="271"/>
        <v>3.8852369301361491E-14</v>
      </c>
      <c r="X310">
        <f t="shared" si="272"/>
        <v>3.9367161866946991E-2</v>
      </c>
      <c r="Y310">
        <f t="shared" si="273"/>
        <v>-1.4048658940732128</v>
      </c>
      <c r="AA310">
        <f t="shared" si="274"/>
        <v>-83.0943956385658</v>
      </c>
      <c r="AD310">
        <f t="shared" si="275"/>
        <v>1.2926000000000002</v>
      </c>
      <c r="AE310">
        <f t="shared" si="276"/>
        <v>1.830943956385658</v>
      </c>
      <c r="AG310">
        <f t="shared" si="277"/>
        <v>-0.82086880126482753</v>
      </c>
      <c r="AK310">
        <f t="shared" si="278"/>
        <v>8.2446366532689624E-8</v>
      </c>
      <c r="AL310">
        <f t="shared" si="279"/>
        <v>4.9467819919613775E-3</v>
      </c>
      <c r="AM310">
        <f t="shared" si="297"/>
        <v>253275.23798842254</v>
      </c>
      <c r="AN310">
        <f t="shared" si="280"/>
        <v>5.403592732109276</v>
      </c>
      <c r="AO310">
        <f t="shared" si="281"/>
        <v>1.7037383423559316</v>
      </c>
      <c r="AP310">
        <f t="shared" si="282"/>
        <v>4.2212143702458125</v>
      </c>
      <c r="AQ310">
        <f t="shared" si="283"/>
        <v>253272.86221474875</v>
      </c>
      <c r="AR310">
        <f t="shared" si="284"/>
        <v>5.4035886583188644</v>
      </c>
      <c r="AT310">
        <f t="shared" si="285"/>
        <v>500919.22374668176</v>
      </c>
      <c r="AV310">
        <f t="shared" si="286"/>
        <v>5010.1922374668175</v>
      </c>
    </row>
    <row r="311" spans="1:48">
      <c r="A311">
        <v>1.3110999999999999</v>
      </c>
      <c r="B311">
        <v>51.655999999999999</v>
      </c>
      <c r="C311">
        <f t="shared" si="287"/>
        <v>2.3110999999999997</v>
      </c>
      <c r="D311">
        <f t="shared" si="288"/>
        <v>1.3110999999999997</v>
      </c>
      <c r="E311">
        <f t="shared" si="289"/>
        <v>131109.99999999997</v>
      </c>
      <c r="F311">
        <f t="shared" si="290"/>
        <v>978432835.82089531</v>
      </c>
      <c r="G311">
        <f t="shared" si="291"/>
        <v>2.8888749999999996</v>
      </c>
      <c r="H311">
        <f t="shared" si="261"/>
        <v>1.8723375546704595</v>
      </c>
      <c r="I311">
        <f t="shared" si="262"/>
        <v>8.609333333333333E-4</v>
      </c>
      <c r="J311">
        <f t="shared" si="292"/>
        <v>1.6815104166666668E-11</v>
      </c>
      <c r="K311" s="1">
        <f t="shared" si="263"/>
        <v>8.2560441288441533E-2</v>
      </c>
      <c r="L311">
        <f t="shared" si="293"/>
        <v>8.2560441288441524E-8</v>
      </c>
      <c r="M311">
        <f t="shared" si="294"/>
        <v>0.91743955871155847</v>
      </c>
      <c r="N311">
        <f t="shared" si="295"/>
        <v>9.1743955871155842E-7</v>
      </c>
      <c r="O311">
        <f t="shared" si="264"/>
        <v>8.3256552603103692E-24</v>
      </c>
      <c r="P311">
        <f t="shared" si="265"/>
        <v>8.4932637399017031E-7</v>
      </c>
      <c r="Q311" s="1">
        <f t="shared" si="266"/>
        <v>0.8493263739901703</v>
      </c>
      <c r="R311" s="1">
        <f t="shared" si="296"/>
        <v>0.1506736260098297</v>
      </c>
      <c r="S311">
        <f t="shared" si="267"/>
        <v>8.9905310190246865</v>
      </c>
      <c r="T311">
        <f t="shared" si="268"/>
        <v>-6.0374225376292117</v>
      </c>
      <c r="U311">
        <f t="shared" si="269"/>
        <v>-6.0709253896317614</v>
      </c>
      <c r="V311">
        <f t="shared" si="270"/>
        <v>0.43165394682519659</v>
      </c>
      <c r="W311">
        <f t="shared" si="271"/>
        <v>3.8921982224971716E-14</v>
      </c>
      <c r="X311">
        <f t="shared" si="272"/>
        <v>3.9437697159416252E-2</v>
      </c>
      <c r="Y311">
        <f t="shared" si="273"/>
        <v>-1.4040884522540724</v>
      </c>
      <c r="AA311">
        <f t="shared" si="274"/>
        <v>-82.500994009250789</v>
      </c>
      <c r="AD311">
        <f t="shared" si="275"/>
        <v>1.3110999999999997</v>
      </c>
      <c r="AE311">
        <f t="shared" si="276"/>
        <v>1.8250099400925079</v>
      </c>
      <c r="AG311">
        <f t="shared" si="277"/>
        <v>-0.82196276016580738</v>
      </c>
      <c r="AK311">
        <f t="shared" si="278"/>
        <v>8.3776194413389094E-8</v>
      </c>
      <c r="AL311">
        <f t="shared" si="279"/>
        <v>5.0265716648033457E-3</v>
      </c>
      <c r="AM311">
        <f t="shared" si="297"/>
        <v>257360.46923793131</v>
      </c>
      <c r="AN311">
        <f t="shared" si="280"/>
        <v>5.4105418397312564</v>
      </c>
      <c r="AO311">
        <f t="shared" si="281"/>
        <v>1.7131207733977831</v>
      </c>
      <c r="AP311">
        <f t="shared" si="282"/>
        <v>4.2893009190658438</v>
      </c>
      <c r="AQ311">
        <f t="shared" si="283"/>
        <v>257358.05514395062</v>
      </c>
      <c r="AR311">
        <f t="shared" si="284"/>
        <v>5.4105377659408447</v>
      </c>
      <c r="AT311">
        <f t="shared" si="285"/>
        <v>498119.89553571958</v>
      </c>
      <c r="AV311">
        <f t="shared" si="286"/>
        <v>4982.1989553571957</v>
      </c>
    </row>
    <row r="312" spans="1:48">
      <c r="A312">
        <v>1.3326</v>
      </c>
      <c r="B312">
        <v>53.100999999999999</v>
      </c>
      <c r="C312">
        <f t="shared" si="287"/>
        <v>2.3326000000000002</v>
      </c>
      <c r="D312">
        <f t="shared" si="288"/>
        <v>1.3326000000000002</v>
      </c>
      <c r="E312">
        <f t="shared" si="289"/>
        <v>133260.00000000003</v>
      </c>
      <c r="F312">
        <f t="shared" si="290"/>
        <v>994477611.94029868</v>
      </c>
      <c r="G312">
        <f t="shared" si="291"/>
        <v>2.9157500000000001</v>
      </c>
      <c r="H312">
        <f t="shared" si="261"/>
        <v>1.8844952235495069</v>
      </c>
      <c r="I312">
        <f t="shared" si="262"/>
        <v>8.8501666666666661E-4</v>
      </c>
      <c r="J312">
        <f t="shared" si="292"/>
        <v>1.7285481770833332E-11</v>
      </c>
      <c r="K312" s="1">
        <f t="shared" si="263"/>
        <v>8.0270604820547153E-2</v>
      </c>
      <c r="L312">
        <f t="shared" si="293"/>
        <v>8.0270604820547151E-8</v>
      </c>
      <c r="M312">
        <f t="shared" si="294"/>
        <v>0.91972939517945285</v>
      </c>
      <c r="N312">
        <f t="shared" si="295"/>
        <v>9.1972939517945279E-7</v>
      </c>
      <c r="O312">
        <f t="shared" si="264"/>
        <v>8.3661465196731613E-24</v>
      </c>
      <c r="P312">
        <f t="shared" si="265"/>
        <v>8.5035715625869451E-7</v>
      </c>
      <c r="Q312" s="1">
        <f t="shared" si="266"/>
        <v>0.85035715625869446</v>
      </c>
      <c r="R312" s="1">
        <f t="shared" si="296"/>
        <v>0.14964284374130554</v>
      </c>
      <c r="S312">
        <f t="shared" si="267"/>
        <v>8.9975950105673093</v>
      </c>
      <c r="T312">
        <f t="shared" si="268"/>
        <v>-6.0363399329451655</v>
      </c>
      <c r="U312">
        <f t="shared" si="269"/>
        <v>-6.0703986290928977</v>
      </c>
      <c r="V312">
        <f t="shared" si="270"/>
        <v>0.43270233352063275</v>
      </c>
      <c r="W312">
        <f t="shared" si="271"/>
        <v>3.9111276644198766E-14</v>
      </c>
      <c r="X312">
        <f t="shared" si="272"/>
        <v>3.9629499723229517E-2</v>
      </c>
      <c r="Y312">
        <f t="shared" si="273"/>
        <v>-1.4019814100986192</v>
      </c>
      <c r="AA312">
        <f t="shared" si="274"/>
        <v>-86.422967754942007</v>
      </c>
      <c r="AD312">
        <f t="shared" si="275"/>
        <v>1.3326000000000002</v>
      </c>
      <c r="AE312">
        <f t="shared" si="276"/>
        <v>1.86422967754942</v>
      </c>
      <c r="AG312">
        <f t="shared" si="277"/>
        <v>-0.82494404726999659</v>
      </c>
      <c r="AK312">
        <f t="shared" si="278"/>
        <v>8.5564114866254826E-8</v>
      </c>
      <c r="AL312">
        <f t="shared" si="279"/>
        <v>5.1338468919752897E-3</v>
      </c>
      <c r="AM312">
        <f t="shared" si="297"/>
        <v>262852.96086913481</v>
      </c>
      <c r="AN312">
        <f t="shared" si="280"/>
        <v>5.4197128734293329</v>
      </c>
      <c r="AO312">
        <f t="shared" si="281"/>
        <v>1.725102699808259</v>
      </c>
      <c r="AP312">
        <f t="shared" si="282"/>
        <v>4.3808415875742712</v>
      </c>
      <c r="AQ312">
        <f t="shared" si="283"/>
        <v>262850.4952544563</v>
      </c>
      <c r="AR312">
        <f t="shared" si="284"/>
        <v>5.4197087996389213</v>
      </c>
      <c r="AT312">
        <f t="shared" si="285"/>
        <v>494905.6700799134</v>
      </c>
      <c r="AV312">
        <f t="shared" si="286"/>
        <v>4950.056700799134</v>
      </c>
    </row>
    <row r="313" spans="1:48">
      <c r="A313">
        <v>1.3514999999999999</v>
      </c>
      <c r="B313">
        <v>54.36</v>
      </c>
      <c r="C313">
        <f t="shared" si="287"/>
        <v>2.3514999999999997</v>
      </c>
      <c r="D313">
        <f t="shared" si="288"/>
        <v>1.3514999999999997</v>
      </c>
      <c r="E313">
        <f t="shared" si="289"/>
        <v>135149.99999999997</v>
      </c>
      <c r="F313">
        <f t="shared" si="290"/>
        <v>1008582089.5522386</v>
      </c>
      <c r="G313">
        <f t="shared" si="291"/>
        <v>2.9393749999999996</v>
      </c>
      <c r="H313">
        <f t="shared" si="261"/>
        <v>1.8951826627036463</v>
      </c>
      <c r="I313">
        <f t="shared" si="262"/>
        <v>9.0600000000000001E-4</v>
      </c>
      <c r="J313">
        <f t="shared" si="292"/>
        <v>1.7695312499999999E-11</v>
      </c>
      <c r="K313" s="1">
        <f t="shared" si="263"/>
        <v>7.96628072079133E-2</v>
      </c>
      <c r="L313">
        <f t="shared" si="293"/>
        <v>7.9662807207913294E-8</v>
      </c>
      <c r="M313">
        <f t="shared" si="294"/>
        <v>0.9203371927920867</v>
      </c>
      <c r="N313">
        <f t="shared" si="295"/>
        <v>9.2033719279208669E-7</v>
      </c>
      <c r="O313">
        <f t="shared" si="264"/>
        <v>8.3971118816291576E-24</v>
      </c>
      <c r="P313">
        <f t="shared" si="265"/>
        <v>8.5114291670794551E-7</v>
      </c>
      <c r="Q313" s="1">
        <f t="shared" si="266"/>
        <v>0.85114291670794551</v>
      </c>
      <c r="R313" s="1">
        <f t="shared" si="296"/>
        <v>0.14885708329205449</v>
      </c>
      <c r="S313">
        <f t="shared" si="267"/>
        <v>9.0037112516699374</v>
      </c>
      <c r="T313">
        <f t="shared" si="268"/>
        <v>-6.0360530268509986</v>
      </c>
      <c r="U313">
        <f t="shared" si="269"/>
        <v>-6.0699975107422279</v>
      </c>
      <c r="V313">
        <f t="shared" si="270"/>
        <v>0.43350236786793239</v>
      </c>
      <c r="W313">
        <f t="shared" si="271"/>
        <v>3.9256038014920902E-14</v>
      </c>
      <c r="X313">
        <f t="shared" si="272"/>
        <v>3.9776179177166957E-2</v>
      </c>
      <c r="Y313">
        <f t="shared" si="273"/>
        <v>-1.4003769366959407</v>
      </c>
      <c r="AA313">
        <f t="shared" si="274"/>
        <v>-86.858947744020469</v>
      </c>
      <c r="AD313">
        <f t="shared" si="275"/>
        <v>1.3514999999999997</v>
      </c>
      <c r="AE313">
        <f t="shared" si="276"/>
        <v>1.8685894774402048</v>
      </c>
      <c r="AG313">
        <f t="shared" si="277"/>
        <v>-0.8272304948334388</v>
      </c>
      <c r="AK313">
        <f t="shared" si="278"/>
        <v>8.7098841113245946E-8</v>
      </c>
      <c r="AL313">
        <f t="shared" si="279"/>
        <v>5.2259304667947567E-3</v>
      </c>
      <c r="AM313">
        <f t="shared" si="297"/>
        <v>267567.63989989157</v>
      </c>
      <c r="AN313">
        <f t="shared" si="280"/>
        <v>5.4274335879346376</v>
      </c>
      <c r="AO313">
        <f t="shared" si="281"/>
        <v>1.7352794480604568</v>
      </c>
      <c r="AP313">
        <f t="shared" si="282"/>
        <v>4.4594188343426131</v>
      </c>
      <c r="AQ313">
        <f t="shared" si="283"/>
        <v>267565.13006055681</v>
      </c>
      <c r="AR313">
        <f t="shared" si="284"/>
        <v>5.4274295141442268</v>
      </c>
      <c r="AT313">
        <f t="shared" si="285"/>
        <v>492114.2014346791</v>
      </c>
      <c r="AV313">
        <f t="shared" si="286"/>
        <v>4922.1420143467913</v>
      </c>
    </row>
    <row r="314" spans="1:48">
      <c r="A314">
        <v>1.3722000000000001</v>
      </c>
      <c r="B314">
        <v>55.51</v>
      </c>
      <c r="C314">
        <f t="shared" si="287"/>
        <v>2.3722000000000003</v>
      </c>
      <c r="D314">
        <f t="shared" si="288"/>
        <v>1.3722000000000003</v>
      </c>
      <c r="E314">
        <f t="shared" si="289"/>
        <v>137220.00000000003</v>
      </c>
      <c r="F314">
        <f t="shared" si="290"/>
        <v>1024029850.7462689</v>
      </c>
      <c r="G314">
        <f t="shared" si="291"/>
        <v>2.9652500000000002</v>
      </c>
      <c r="H314">
        <f t="shared" si="261"/>
        <v>1.9068879532058001</v>
      </c>
      <c r="I314">
        <f t="shared" si="262"/>
        <v>9.2516666666666659E-4</v>
      </c>
      <c r="J314">
        <f t="shared" si="292"/>
        <v>1.8069661458333333E-11</v>
      </c>
      <c r="K314" s="1">
        <f t="shared" si="263"/>
        <v>7.8571447737889044E-2</v>
      </c>
      <c r="L314">
        <f t="shared" si="293"/>
        <v>7.8571447737889036E-8</v>
      </c>
      <c r="M314">
        <f t="shared" si="294"/>
        <v>0.92142855226211096</v>
      </c>
      <c r="N314">
        <f t="shared" si="295"/>
        <v>9.2142855226211096E-7</v>
      </c>
      <c r="O314">
        <f t="shared" si="264"/>
        <v>8.3935610517328961E-24</v>
      </c>
      <c r="P314">
        <f t="shared" si="265"/>
        <v>8.5105292317424368E-7</v>
      </c>
      <c r="Q314" s="1">
        <f t="shared" si="266"/>
        <v>0.85105292317424364</v>
      </c>
      <c r="R314" s="1">
        <f t="shared" si="296"/>
        <v>0.14894707682575636</v>
      </c>
      <c r="S314">
        <f t="shared" si="267"/>
        <v>9.0103126166255851</v>
      </c>
      <c r="T314">
        <f t="shared" si="268"/>
        <v>-6.0355383344126663</v>
      </c>
      <c r="U314">
        <f t="shared" si="269"/>
        <v>-6.0700434322445771</v>
      </c>
      <c r="V314">
        <f t="shared" si="270"/>
        <v>0.4334107020695207</v>
      </c>
      <c r="W314">
        <f t="shared" si="271"/>
        <v>3.923943807968636E-14</v>
      </c>
      <c r="X314">
        <f t="shared" si="272"/>
        <v>3.9759359293357811E-2</v>
      </c>
      <c r="Y314">
        <f t="shared" si="273"/>
        <v>-1.400560622705338</v>
      </c>
      <c r="AA314">
        <f t="shared" si="274"/>
        <v>-89.568960626304587</v>
      </c>
      <c r="AD314">
        <f t="shared" si="275"/>
        <v>1.3722000000000003</v>
      </c>
      <c r="AE314">
        <f t="shared" si="276"/>
        <v>1.8956896062630457</v>
      </c>
      <c r="AG314">
        <f t="shared" si="277"/>
        <v>-0.82696801565069045</v>
      </c>
      <c r="AK314">
        <f t="shared" si="278"/>
        <v>8.8395479406384421E-8</v>
      </c>
      <c r="AL314">
        <f t="shared" si="279"/>
        <v>5.3037287643830653E-3</v>
      </c>
      <c r="AM314">
        <f t="shared" si="297"/>
        <v>271550.91273641295</v>
      </c>
      <c r="AN314">
        <f t="shared" si="280"/>
        <v>5.4338512668808887</v>
      </c>
      <c r="AO314">
        <f t="shared" si="281"/>
        <v>1.7443712273318606</v>
      </c>
      <c r="AP314">
        <f t="shared" si="282"/>
        <v>4.5258060922193684</v>
      </c>
      <c r="AQ314">
        <f t="shared" si="283"/>
        <v>271548.36553316208</v>
      </c>
      <c r="AR314">
        <f t="shared" si="284"/>
        <v>5.433847193090477</v>
      </c>
      <c r="AT314">
        <f t="shared" si="285"/>
        <v>489092.78100596822</v>
      </c>
      <c r="AV314">
        <f t="shared" si="286"/>
        <v>4891.9278100596821</v>
      </c>
    </row>
    <row r="315" spans="1:48">
      <c r="A315">
        <v>1.3942000000000001</v>
      </c>
      <c r="B315">
        <v>56.938000000000002</v>
      </c>
      <c r="C315">
        <f t="shared" si="287"/>
        <v>2.3942000000000001</v>
      </c>
      <c r="D315">
        <f t="shared" si="288"/>
        <v>1.3942000000000001</v>
      </c>
      <c r="E315">
        <f t="shared" si="289"/>
        <v>139420</v>
      </c>
      <c r="F315">
        <f t="shared" si="290"/>
        <v>1040447761.1940298</v>
      </c>
      <c r="G315">
        <f t="shared" si="291"/>
        <v>2.99275</v>
      </c>
      <c r="H315">
        <f t="shared" si="261"/>
        <v>1.9193283585704068</v>
      </c>
      <c r="I315">
        <f t="shared" si="262"/>
        <v>9.4896666666666673E-4</v>
      </c>
      <c r="J315">
        <f t="shared" si="292"/>
        <v>1.8534505208333333E-11</v>
      </c>
      <c r="K315" s="1">
        <f t="shared" si="263"/>
        <v>7.6922203628417618E-2</v>
      </c>
      <c r="L315">
        <f t="shared" si="293"/>
        <v>7.6922203628417609E-8</v>
      </c>
      <c r="M315">
        <f t="shared" si="294"/>
        <v>0.92307779637158238</v>
      </c>
      <c r="N315">
        <f t="shared" si="295"/>
        <v>9.2307779637158237E-7</v>
      </c>
      <c r="O315">
        <f t="shared" si="264"/>
        <v>8.4187083784655863E-24</v>
      </c>
      <c r="P315">
        <f t="shared" si="265"/>
        <v>8.5168965240948472E-7</v>
      </c>
      <c r="Q315" s="1">
        <f t="shared" si="266"/>
        <v>0.85168965240948469</v>
      </c>
      <c r="R315" s="1">
        <f t="shared" si="296"/>
        <v>0.14831034759051531</v>
      </c>
      <c r="S315">
        <f t="shared" si="267"/>
        <v>9.01722028003568</v>
      </c>
      <c r="T315">
        <f t="shared" si="268"/>
        <v>-6.0347616953867673</v>
      </c>
      <c r="U315">
        <f t="shared" si="269"/>
        <v>-6.0697186291766485</v>
      </c>
      <c r="V315">
        <f t="shared" si="270"/>
        <v>0.43405947135596917</v>
      </c>
      <c r="W315">
        <f t="shared" si="271"/>
        <v>3.9357000454477579E-14</v>
      </c>
      <c r="X315">
        <f t="shared" si="272"/>
        <v>3.9878479365597685E-2</v>
      </c>
      <c r="Y315">
        <f t="shared" si="273"/>
        <v>-1.3992614104336243</v>
      </c>
      <c r="AA315">
        <f t="shared" si="274"/>
        <v>-92.805640757442546</v>
      </c>
      <c r="AD315">
        <f t="shared" si="275"/>
        <v>1.3942000000000001</v>
      </c>
      <c r="AE315">
        <f t="shared" si="276"/>
        <v>1.9280564075744255</v>
      </c>
      <c r="AG315">
        <f t="shared" si="277"/>
        <v>-0.82882854725422928</v>
      </c>
      <c r="AK315">
        <f t="shared" si="278"/>
        <v>9.0081774198272135E-8</v>
      </c>
      <c r="AL315">
        <f t="shared" si="279"/>
        <v>5.4049064518963278E-3</v>
      </c>
      <c r="AM315">
        <f t="shared" si="297"/>
        <v>276731.21033709199</v>
      </c>
      <c r="AN315">
        <f t="shared" si="280"/>
        <v>5.4420581425626979</v>
      </c>
      <c r="AO315">
        <f t="shared" si="281"/>
        <v>1.7554022080828255</v>
      </c>
      <c r="AP315">
        <f t="shared" si="282"/>
        <v>4.6121435756931231</v>
      </c>
      <c r="AQ315">
        <f t="shared" si="283"/>
        <v>276728.61454158736</v>
      </c>
      <c r="AR315">
        <f t="shared" si="284"/>
        <v>5.4420540687722871</v>
      </c>
      <c r="AT315">
        <f t="shared" si="285"/>
        <v>485922.00698495196</v>
      </c>
      <c r="AV315">
        <f t="shared" si="286"/>
        <v>4860.2200698495199</v>
      </c>
    </row>
    <row r="316" spans="1:48">
      <c r="A316">
        <v>1.4134</v>
      </c>
      <c r="B316">
        <v>58.18</v>
      </c>
      <c r="C316">
        <f t="shared" si="287"/>
        <v>2.4134000000000002</v>
      </c>
      <c r="D316">
        <f t="shared" si="288"/>
        <v>1.4134000000000002</v>
      </c>
      <c r="E316">
        <f t="shared" si="289"/>
        <v>141340.00000000003</v>
      </c>
      <c r="F316">
        <f t="shared" si="290"/>
        <v>1054776119.4029852</v>
      </c>
      <c r="G316">
        <f t="shared" si="291"/>
        <v>3.01675</v>
      </c>
      <c r="H316">
        <f t="shared" si="261"/>
        <v>1.9301854396158822</v>
      </c>
      <c r="I316">
        <f t="shared" si="262"/>
        <v>9.6966666666666664E-4</v>
      </c>
      <c r="J316">
        <f t="shared" si="292"/>
        <v>1.8938802083333333E-11</v>
      </c>
      <c r="K316" s="1">
        <f t="shared" si="263"/>
        <v>7.6245144024303602E-2</v>
      </c>
      <c r="L316">
        <f t="shared" si="293"/>
        <v>7.6245144024303597E-8</v>
      </c>
      <c r="M316">
        <f t="shared" si="294"/>
        <v>0.9237548559756964</v>
      </c>
      <c r="N316">
        <f t="shared" si="295"/>
        <v>9.2375485597569638E-7</v>
      </c>
      <c r="O316">
        <f t="shared" si="264"/>
        <v>8.4377608322274464E-24</v>
      </c>
      <c r="P316">
        <f t="shared" si="265"/>
        <v>8.5217111061046161E-7</v>
      </c>
      <c r="Q316" s="1">
        <f t="shared" si="266"/>
        <v>0.85217111061046158</v>
      </c>
      <c r="R316" s="1">
        <f t="shared" si="296"/>
        <v>0.14782888938953842</v>
      </c>
      <c r="S316">
        <f t="shared" si="267"/>
        <v>9.0231602886138962</v>
      </c>
      <c r="T316">
        <f t="shared" si="268"/>
        <v>-6.0344432656007374</v>
      </c>
      <c r="U316">
        <f t="shared" si="269"/>
        <v>-6.0694731928709897</v>
      </c>
      <c r="V316">
        <f t="shared" si="270"/>
        <v>0.43455035570564515</v>
      </c>
      <c r="W316">
        <f t="shared" si="271"/>
        <v>3.9446069632034732E-14</v>
      </c>
      <c r="X316">
        <f t="shared" si="272"/>
        <v>3.9968728706713814E-2</v>
      </c>
      <c r="Y316">
        <f t="shared" si="273"/>
        <v>-1.3982796652109886</v>
      </c>
      <c r="AA316">
        <f t="shared" si="274"/>
        <v>-93.886300932708664</v>
      </c>
      <c r="AD316">
        <f t="shared" si="275"/>
        <v>1.4134000000000002</v>
      </c>
      <c r="AE316">
        <f t="shared" si="276"/>
        <v>1.9388630093270867</v>
      </c>
      <c r="AG316">
        <f t="shared" si="277"/>
        <v>-0.83024068585705824</v>
      </c>
      <c r="AK316">
        <f t="shared" si="278"/>
        <v>9.1528993150522532E-8</v>
      </c>
      <c r="AL316">
        <f t="shared" si="279"/>
        <v>5.4917395890313522E-3</v>
      </c>
      <c r="AM316">
        <f t="shared" si="297"/>
        <v>281177.06695840525</v>
      </c>
      <c r="AN316">
        <f t="shared" si="280"/>
        <v>5.4489798963635501</v>
      </c>
      <c r="AO316">
        <f t="shared" si="281"/>
        <v>1.7647737169110405</v>
      </c>
      <c r="AP316">
        <f t="shared" si="282"/>
        <v>4.6862404909975606</v>
      </c>
      <c r="AQ316">
        <f t="shared" si="283"/>
        <v>281174.42945985362</v>
      </c>
      <c r="AR316">
        <f t="shared" si="284"/>
        <v>5.4489758225731384</v>
      </c>
      <c r="AT316">
        <f t="shared" si="285"/>
        <v>483188.18659058999</v>
      </c>
      <c r="AV316">
        <f t="shared" si="286"/>
        <v>4832.8818659058998</v>
      </c>
    </row>
    <row r="317" spans="1:48">
      <c r="A317">
        <v>1.4325000000000001</v>
      </c>
      <c r="B317">
        <v>59.472999999999999</v>
      </c>
      <c r="C317">
        <f t="shared" si="287"/>
        <v>2.4325000000000001</v>
      </c>
      <c r="D317">
        <f t="shared" si="288"/>
        <v>1.4325000000000001</v>
      </c>
      <c r="E317">
        <f t="shared" si="289"/>
        <v>143250</v>
      </c>
      <c r="F317">
        <f t="shared" si="290"/>
        <v>1069029850.7462686</v>
      </c>
      <c r="G317">
        <f t="shared" si="291"/>
        <v>3.0406250000000004</v>
      </c>
      <c r="H317">
        <f t="shared" si="261"/>
        <v>1.9409859733642452</v>
      </c>
      <c r="I317">
        <f t="shared" si="262"/>
        <v>9.9121666666666659E-4</v>
      </c>
      <c r="J317">
        <f t="shared" si="292"/>
        <v>1.9359700520833332E-11</v>
      </c>
      <c r="K317" s="1">
        <f t="shared" si="263"/>
        <v>7.5037514298229024E-2</v>
      </c>
      <c r="L317">
        <f t="shared" si="293"/>
        <v>7.5037514298229022E-8</v>
      </c>
      <c r="M317">
        <f t="shared" si="294"/>
        <v>0.92496248570177098</v>
      </c>
      <c r="N317">
        <f t="shared" si="295"/>
        <v>9.2496248570177093E-7</v>
      </c>
      <c r="O317">
        <f t="shared" si="264"/>
        <v>8.4629238881348714E-24</v>
      </c>
      <c r="P317">
        <f t="shared" si="265"/>
        <v>8.5280573663535514E-7</v>
      </c>
      <c r="Q317" s="1">
        <f t="shared" si="266"/>
        <v>0.85280573663535519</v>
      </c>
      <c r="R317" s="1">
        <f t="shared" si="296"/>
        <v>0.14719426336464481</v>
      </c>
      <c r="S317">
        <f t="shared" si="267"/>
        <v>9.02898983227462</v>
      </c>
      <c r="T317">
        <f t="shared" si="268"/>
        <v>-6.0338758808643149</v>
      </c>
      <c r="U317">
        <f t="shared" si="269"/>
        <v>-6.0691498869048628</v>
      </c>
      <c r="V317">
        <f t="shared" si="270"/>
        <v>0.43519783048922533</v>
      </c>
      <c r="W317">
        <f t="shared" si="271"/>
        <v>3.956370553985619E-14</v>
      </c>
      <c r="X317">
        <f t="shared" si="272"/>
        <v>4.0087923286294069E-2</v>
      </c>
      <c r="Y317">
        <f t="shared" si="273"/>
        <v>-1.3969864413464781</v>
      </c>
      <c r="AA317">
        <f t="shared" si="274"/>
        <v>-96.160899972827025</v>
      </c>
      <c r="AD317">
        <f t="shared" si="275"/>
        <v>1.4325000000000001</v>
      </c>
      <c r="AE317">
        <f t="shared" si="276"/>
        <v>1.9616089997282702</v>
      </c>
      <c r="AG317">
        <f t="shared" si="277"/>
        <v>-0.83210911552588107</v>
      </c>
      <c r="AK317">
        <f t="shared" si="278"/>
        <v>9.3042517439429115E-8</v>
      </c>
      <c r="AL317">
        <f t="shared" si="279"/>
        <v>5.582551046365747E-3</v>
      </c>
      <c r="AM317">
        <f t="shared" si="297"/>
        <v>285826.61357392627</v>
      </c>
      <c r="AN317">
        <f t="shared" si="280"/>
        <v>5.4561026638887835</v>
      </c>
      <c r="AO317">
        <f t="shared" si="281"/>
        <v>1.7743198461936518</v>
      </c>
      <c r="AP317">
        <f t="shared" si="282"/>
        <v>4.7637322076945656</v>
      </c>
      <c r="AQ317">
        <f t="shared" si="283"/>
        <v>285823.93246167392</v>
      </c>
      <c r="AR317">
        <f t="shared" si="284"/>
        <v>5.4560985900983727</v>
      </c>
      <c r="AT317">
        <f t="shared" si="285"/>
        <v>480498.95006797416</v>
      </c>
      <c r="AV317">
        <f t="shared" si="286"/>
        <v>4805.9895006797415</v>
      </c>
    </row>
    <row r="318" spans="1:48">
      <c r="A318">
        <v>1.4505999999999999</v>
      </c>
      <c r="B318">
        <v>61.250999999999998</v>
      </c>
      <c r="C318">
        <f t="shared" si="287"/>
        <v>2.4505999999999997</v>
      </c>
      <c r="D318">
        <f t="shared" si="288"/>
        <v>1.4505999999999997</v>
      </c>
      <c r="E318">
        <f t="shared" si="289"/>
        <v>145059.99999999997</v>
      </c>
      <c r="F318">
        <f t="shared" si="290"/>
        <v>1082537313.4328356</v>
      </c>
      <c r="G318">
        <f t="shared" si="291"/>
        <v>3.0632499999999996</v>
      </c>
      <c r="H318">
        <f t="shared" si="261"/>
        <v>1.9512210341414895</v>
      </c>
      <c r="I318">
        <f t="shared" si="262"/>
        <v>1.02085E-3</v>
      </c>
      <c r="J318">
        <f t="shared" si="292"/>
        <v>1.99384765625E-11</v>
      </c>
      <c r="K318" s="1">
        <f t="shared" si="263"/>
        <v>7.2250336978747942E-2</v>
      </c>
      <c r="L318">
        <f t="shared" si="293"/>
        <v>7.2250336978747937E-8</v>
      </c>
      <c r="M318">
        <f t="shared" si="294"/>
        <v>0.92774966302125206</v>
      </c>
      <c r="N318">
        <f t="shared" si="295"/>
        <v>9.2774966302125203E-7</v>
      </c>
      <c r="O318">
        <f t="shared" si="264"/>
        <v>8.5620282766229013E-24</v>
      </c>
      <c r="P318">
        <f t="shared" si="265"/>
        <v>8.5529152522309826E-7</v>
      </c>
      <c r="Q318" s="1">
        <f t="shared" si="266"/>
        <v>0.85529152522309826</v>
      </c>
      <c r="R318" s="1">
        <f t="shared" si="296"/>
        <v>0.14470847477690174</v>
      </c>
      <c r="S318">
        <f t="shared" si="267"/>
        <v>9.03444287476092</v>
      </c>
      <c r="T318">
        <f t="shared" si="268"/>
        <v>-6.0325691947243021</v>
      </c>
      <c r="U318">
        <f t="shared" si="269"/>
        <v>-6.067885831217783</v>
      </c>
      <c r="V318">
        <f t="shared" si="270"/>
        <v>0.43773858837300023</v>
      </c>
      <c r="W318">
        <f t="shared" si="271"/>
        <v>4.0027013126652113E-14</v>
      </c>
      <c r="X318">
        <f t="shared" si="272"/>
        <v>4.0557369682782958E-2</v>
      </c>
      <c r="Y318">
        <f t="shared" si="273"/>
        <v>-1.3919302185981612</v>
      </c>
      <c r="AA318">
        <f t="shared" si="274"/>
        <v>-100.28761224943072</v>
      </c>
      <c r="AD318">
        <f t="shared" si="275"/>
        <v>1.4505999999999997</v>
      </c>
      <c r="AE318">
        <f t="shared" si="276"/>
        <v>2.0028761224943072</v>
      </c>
      <c r="AG318">
        <f t="shared" si="277"/>
        <v>-0.8395060339046877</v>
      </c>
      <c r="AK318">
        <f t="shared" si="278"/>
        <v>9.5321467051370348E-8</v>
      </c>
      <c r="AL318">
        <f t="shared" si="279"/>
        <v>5.7192880230822205E-3</v>
      </c>
      <c r="AM318">
        <f t="shared" si="297"/>
        <v>292827.54678180971</v>
      </c>
      <c r="AN318">
        <f t="shared" si="280"/>
        <v>5.4666119291234008</v>
      </c>
      <c r="AO318">
        <f t="shared" si="281"/>
        <v>1.7871131835008425</v>
      </c>
      <c r="AP318">
        <f t="shared" si="282"/>
        <v>4.8804133333228021</v>
      </c>
      <c r="AQ318">
        <f t="shared" si="283"/>
        <v>292824.79999936814</v>
      </c>
      <c r="AR318">
        <f t="shared" si="284"/>
        <v>5.4666078553329891</v>
      </c>
      <c r="AT318">
        <f t="shared" si="285"/>
        <v>477977.98530931695</v>
      </c>
      <c r="AV318">
        <f t="shared" si="286"/>
        <v>4780.7798530931695</v>
      </c>
    </row>
    <row r="319" spans="1:48">
      <c r="A319">
        <v>1.4704999999999999</v>
      </c>
      <c r="B319">
        <v>62.691000000000003</v>
      </c>
      <c r="C319">
        <f t="shared" si="287"/>
        <v>2.4704999999999999</v>
      </c>
      <c r="D319">
        <f t="shared" si="288"/>
        <v>1.4704999999999999</v>
      </c>
      <c r="E319">
        <f t="shared" si="289"/>
        <v>147050</v>
      </c>
      <c r="F319">
        <f t="shared" si="290"/>
        <v>1097388059.7014925</v>
      </c>
      <c r="G319">
        <f t="shared" si="291"/>
        <v>3.0881249999999998</v>
      </c>
      <c r="H319">
        <f t="shared" si="261"/>
        <v>1.9624739462667482</v>
      </c>
      <c r="I319">
        <f t="shared" si="262"/>
        <v>1.0448499999999999E-3</v>
      </c>
      <c r="J319">
        <f t="shared" si="292"/>
        <v>2.0407226562499998E-11</v>
      </c>
      <c r="K319" s="1">
        <f t="shared" si="263"/>
        <v>7.0333528897682296E-2</v>
      </c>
      <c r="L319">
        <f t="shared" si="293"/>
        <v>7.0333528897682296E-8</v>
      </c>
      <c r="M319">
        <f t="shared" si="294"/>
        <v>0.9296664711023177</v>
      </c>
      <c r="N319">
        <f t="shared" si="295"/>
        <v>9.2966647110231766E-7</v>
      </c>
      <c r="O319">
        <f t="shared" si="264"/>
        <v>8.5951584107644694E-24</v>
      </c>
      <c r="P319">
        <f t="shared" si="265"/>
        <v>8.5611769917975107E-7</v>
      </c>
      <c r="Q319" s="1">
        <f t="shared" si="266"/>
        <v>0.85611769917975111</v>
      </c>
      <c r="R319" s="1">
        <f t="shared" si="296"/>
        <v>0.14388230082024889</v>
      </c>
      <c r="S319">
        <f t="shared" si="267"/>
        <v>9.0403602304782797</v>
      </c>
      <c r="T319">
        <f t="shared" si="268"/>
        <v>-6.0316728318116546</v>
      </c>
      <c r="U319">
        <f t="shared" si="269"/>
        <v>-6.0674665243527475</v>
      </c>
      <c r="V319">
        <f t="shared" si="270"/>
        <v>0.43858466922144784</v>
      </c>
      <c r="W319">
        <f t="shared" si="271"/>
        <v>4.0181894688745557E-14</v>
      </c>
      <c r="X319">
        <f t="shared" si="272"/>
        <v>4.0714303420281546E-2</v>
      </c>
      <c r="Y319">
        <f t="shared" si="273"/>
        <v>-1.3902529911380193</v>
      </c>
      <c r="AA319">
        <f t="shared" si="274"/>
        <v>-104.57142286939943</v>
      </c>
      <c r="AD319">
        <f t="shared" si="275"/>
        <v>1.4704999999999999</v>
      </c>
      <c r="AE319">
        <f t="shared" si="276"/>
        <v>2.0457142286939942</v>
      </c>
      <c r="AG319">
        <f t="shared" si="277"/>
        <v>-0.84199262599983915</v>
      </c>
      <c r="AK319">
        <f t="shared" si="278"/>
        <v>9.7003030174460625E-8</v>
      </c>
      <c r="AL319">
        <f t="shared" si="279"/>
        <v>5.8201818104676372E-3</v>
      </c>
      <c r="AM319">
        <f t="shared" si="297"/>
        <v>297993.30869594304</v>
      </c>
      <c r="AN319">
        <f t="shared" si="280"/>
        <v>5.4742065123009036</v>
      </c>
      <c r="AO319">
        <f t="shared" si="281"/>
        <v>1.7972051974353558</v>
      </c>
      <c r="AP319">
        <f t="shared" si="282"/>
        <v>4.9665085576265868</v>
      </c>
      <c r="AQ319">
        <f t="shared" si="283"/>
        <v>297990.5134575952</v>
      </c>
      <c r="AR319">
        <f t="shared" si="284"/>
        <v>5.4742024385104919</v>
      </c>
      <c r="AT319">
        <f t="shared" si="285"/>
        <v>475236.66506506997</v>
      </c>
      <c r="AV319">
        <f t="shared" si="286"/>
        <v>4753.3666506506997</v>
      </c>
    </row>
    <row r="320" spans="1:48">
      <c r="A320">
        <v>1.4913000000000001</v>
      </c>
      <c r="B320">
        <v>64.447999999999993</v>
      </c>
      <c r="C320">
        <f t="shared" si="287"/>
        <v>2.4912999999999998</v>
      </c>
      <c r="D320">
        <f t="shared" si="288"/>
        <v>1.4912999999999998</v>
      </c>
      <c r="E320">
        <f t="shared" si="289"/>
        <v>149129.99999999997</v>
      </c>
      <c r="F320">
        <f t="shared" si="290"/>
        <v>1112910447.7611938</v>
      </c>
      <c r="G320">
        <f t="shared" si="291"/>
        <v>3.1141249999999996</v>
      </c>
      <c r="H320">
        <f t="shared" si="261"/>
        <v>1.974235784066013</v>
      </c>
      <c r="I320">
        <f t="shared" si="262"/>
        <v>1.0741333333333333E-3</v>
      </c>
      <c r="J320">
        <f t="shared" si="292"/>
        <v>2.0979166666666665E-11</v>
      </c>
      <c r="K320" s="1">
        <f t="shared" si="263"/>
        <v>6.8053753403006789E-2</v>
      </c>
      <c r="L320">
        <f t="shared" si="293"/>
        <v>6.8053753403006788E-8</v>
      </c>
      <c r="M320">
        <f t="shared" si="294"/>
        <v>0.93194624659699321</v>
      </c>
      <c r="N320">
        <f t="shared" si="295"/>
        <v>9.3194624659699313E-7</v>
      </c>
      <c r="O320">
        <f t="shared" si="264"/>
        <v>8.6608999889609724E-24</v>
      </c>
      <c r="P320">
        <f t="shared" si="265"/>
        <v>8.5775006620358129E-7</v>
      </c>
      <c r="Q320" s="1">
        <f t="shared" si="266"/>
        <v>0.8577500662035813</v>
      </c>
      <c r="R320" s="1">
        <f t="shared" si="296"/>
        <v>0.1422499337964187</v>
      </c>
      <c r="S320">
        <f t="shared" si="267"/>
        <v>9.0464602194938539</v>
      </c>
      <c r="T320">
        <f t="shared" si="268"/>
        <v>-6.0306091364438137</v>
      </c>
      <c r="U320">
        <f t="shared" si="269"/>
        <v>-6.0666392397517086</v>
      </c>
      <c r="V320">
        <f t="shared" si="270"/>
        <v>0.44025877007917141</v>
      </c>
      <c r="W320">
        <f t="shared" si="271"/>
        <v>4.0489232965193821E-14</v>
      </c>
      <c r="X320">
        <f t="shared" si="272"/>
        <v>4.1025713918390432E-2</v>
      </c>
      <c r="Y320">
        <f t="shared" si="273"/>
        <v>-1.3869438527338633</v>
      </c>
      <c r="AA320">
        <f t="shared" si="274"/>
        <v>-109.02584601620772</v>
      </c>
      <c r="AD320">
        <f t="shared" si="275"/>
        <v>1.4912999999999998</v>
      </c>
      <c r="AE320">
        <f t="shared" si="276"/>
        <v>2.0902584601620773</v>
      </c>
      <c r="AG320">
        <f t="shared" si="277"/>
        <v>-0.84694792705490685</v>
      </c>
      <c r="AK320">
        <f t="shared" si="278"/>
        <v>9.9127562762025434E-8</v>
      </c>
      <c r="AL320">
        <f t="shared" si="279"/>
        <v>5.9476537657215259E-3</v>
      </c>
      <c r="AM320">
        <f t="shared" si="297"/>
        <v>304519.87280494213</v>
      </c>
      <c r="AN320">
        <f t="shared" si="280"/>
        <v>5.4836156397206324</v>
      </c>
      <c r="AO320">
        <f t="shared" si="281"/>
        <v>1.8092094445375051</v>
      </c>
      <c r="AP320">
        <f t="shared" si="282"/>
        <v>5.0752836057680764</v>
      </c>
      <c r="AQ320">
        <f t="shared" si="283"/>
        <v>304517.01634608459</v>
      </c>
      <c r="AR320">
        <f t="shared" si="284"/>
        <v>5.4836115659302216</v>
      </c>
      <c r="AT320">
        <f t="shared" si="285"/>
        <v>472404.76788254437</v>
      </c>
      <c r="AV320">
        <f t="shared" si="286"/>
        <v>4725.0476788254437</v>
      </c>
    </row>
    <row r="321" spans="1:48"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1" t="s">
        <v>106</v>
      </c>
      <c r="AA321">
        <f>AVERAGE(AA307:AA320)</f>
        <v>-89.81341433268048</v>
      </c>
      <c r="AB321" s="4"/>
      <c r="AC321" s="4"/>
      <c r="AD321" s="1" t="s">
        <v>106</v>
      </c>
      <c r="AE321" s="4">
        <f>AVERAGE(AE307:AE320)</f>
        <v>1.8981341433268046</v>
      </c>
      <c r="AF321" s="4"/>
      <c r="AG321" s="4"/>
      <c r="AH321" s="4"/>
      <c r="AI321" s="4"/>
      <c r="AJ321" s="4"/>
      <c r="AK321" s="4"/>
      <c r="AL321" s="4"/>
      <c r="AM321" s="4"/>
      <c r="AN321" s="4"/>
      <c r="AO321" s="4"/>
      <c r="AP321" s="4"/>
      <c r="AQ321" s="4"/>
      <c r="AR321" s="4"/>
      <c r="AS321" s="4"/>
      <c r="AT321" s="4"/>
      <c r="AU321" s="4"/>
      <c r="AV321" s="4"/>
    </row>
    <row r="322" spans="1:48">
      <c r="A322" s="1" t="s">
        <v>107</v>
      </c>
      <c r="K322" s="4"/>
      <c r="L322" s="4"/>
      <c r="M322" s="4"/>
      <c r="N322" s="4"/>
      <c r="Z322" s="1" t="s">
        <v>108</v>
      </c>
      <c r="AA322">
        <f>_xlfn.VAR.S(AA307:AA320)</f>
        <v>106.11046625755934</v>
      </c>
      <c r="AD322" s="1" t="s">
        <v>108</v>
      </c>
      <c r="AE322" s="4">
        <f>_xlfn.VAR.S(AE307:AE320)</f>
        <v>1.0611046625755832E-2</v>
      </c>
    </row>
    <row r="323" spans="1:48">
      <c r="A323" t="s">
        <v>28</v>
      </c>
      <c r="B323" t="s">
        <v>29</v>
      </c>
      <c r="C323" t="s">
        <v>51</v>
      </c>
      <c r="D323" t="s">
        <v>52</v>
      </c>
      <c r="E323" t="s">
        <v>53</v>
      </c>
      <c r="F323" s="3" t="s">
        <v>54</v>
      </c>
      <c r="G323" t="s">
        <v>55</v>
      </c>
      <c r="H323" t="s">
        <v>56</v>
      </c>
      <c r="I323" t="s">
        <v>57</v>
      </c>
      <c r="J323" t="s">
        <v>58</v>
      </c>
      <c r="K323" s="4"/>
      <c r="L323" s="4"/>
      <c r="M323" s="4"/>
      <c r="N323" s="4"/>
      <c r="Z323" s="1" t="s">
        <v>109</v>
      </c>
      <c r="AA323">
        <f>AA322^0.5</f>
        <v>10.300993459737724</v>
      </c>
      <c r="AD323" s="1" t="s">
        <v>109</v>
      </c>
      <c r="AE323">
        <f>AE322^0.5</f>
        <v>0.10300993459737673</v>
      </c>
    </row>
    <row r="324" spans="1:48">
      <c r="A324">
        <v>1.2342</v>
      </c>
      <c r="B324">
        <v>67.415000000000006</v>
      </c>
      <c r="C324">
        <f>A324+1</f>
        <v>2.2342</v>
      </c>
      <c r="D324">
        <f>C324-1</f>
        <v>1.2342</v>
      </c>
      <c r="E324">
        <f>D324*100000</f>
        <v>123420</v>
      </c>
      <c r="F324">
        <f>E324/(0.000134)</f>
        <v>921044776.119403</v>
      </c>
      <c r="G324">
        <f>1.25*C324/1</f>
        <v>2.7927499999999998</v>
      </c>
      <c r="H324">
        <f t="shared" ref="H324:H337" si="298">(((((C324+1)*100000)/2)*28.02)/(8.314*298))/1000</f>
        <v>1.8288526831914471</v>
      </c>
      <c r="I324">
        <f t="shared" ref="I324:I337" si="299">B324/60000</f>
        <v>1.1235833333333334E-3</v>
      </c>
      <c r="J324">
        <f>I324/51200000</f>
        <v>2.1944986979166668E-11</v>
      </c>
      <c r="K324" s="4"/>
      <c r="L324" s="4"/>
      <c r="M324" s="4"/>
      <c r="N324" s="4"/>
      <c r="AD324" s="1" t="s">
        <v>110</v>
      </c>
      <c r="AE324">
        <f>AE323*100</f>
        <v>10.300993459737672</v>
      </c>
    </row>
    <row r="325" spans="1:48">
      <c r="A325" s="1">
        <v>1.2555000000000001</v>
      </c>
      <c r="B325" s="1">
        <v>68.488</v>
      </c>
      <c r="C325">
        <f>A325+1</f>
        <v>2.2555000000000001</v>
      </c>
      <c r="D325">
        <f>C325-1</f>
        <v>1.2555000000000001</v>
      </c>
      <c r="E325">
        <f>D325*100000</f>
        <v>125550</v>
      </c>
      <c r="F325">
        <f>E325/(0.000134)</f>
        <v>936940298.50746262</v>
      </c>
      <c r="G325">
        <f>1.25*C325/1</f>
        <v>2.819375</v>
      </c>
      <c r="H325">
        <f t="shared" si="298"/>
        <v>1.840897257476271</v>
      </c>
      <c r="I325">
        <f t="shared" si="299"/>
        <v>1.1414666666666666E-3</v>
      </c>
      <c r="J325">
        <f>I325/51200000</f>
        <v>2.2294270833333331E-11</v>
      </c>
      <c r="K325" s="4"/>
      <c r="L325" s="4"/>
      <c r="M325" s="4"/>
      <c r="N325" s="4"/>
    </row>
    <row r="326" spans="1:48">
      <c r="A326">
        <v>1.2722</v>
      </c>
      <c r="B326">
        <v>69.978999999999999</v>
      </c>
      <c r="C326">
        <f t="shared" ref="C326:C337" si="300">A326+1</f>
        <v>2.2721999999999998</v>
      </c>
      <c r="D326">
        <f t="shared" ref="D326:D337" si="301">C326-1</f>
        <v>1.2721999999999998</v>
      </c>
      <c r="E326">
        <f t="shared" ref="E326:E337" si="302">D326*100000</f>
        <v>127219.99999999997</v>
      </c>
      <c r="F326">
        <f t="shared" ref="F326:F337" si="303">E326/(0.000134)</f>
        <v>949402985.07462656</v>
      </c>
      <c r="G326">
        <f t="shared" ref="G326:G337" si="304">1.25*C326/1</f>
        <v>2.8402499999999997</v>
      </c>
      <c r="H326">
        <f t="shared" si="298"/>
        <v>1.8503406560939499</v>
      </c>
      <c r="I326">
        <f t="shared" si="299"/>
        <v>1.1663166666666667E-3</v>
      </c>
      <c r="J326">
        <f t="shared" ref="J326:J337" si="305">I326/51200000</f>
        <v>2.2779622395833333E-11</v>
      </c>
    </row>
    <row r="327" spans="1:48">
      <c r="A327">
        <v>1.292</v>
      </c>
      <c r="B327">
        <v>71.337000000000003</v>
      </c>
      <c r="C327">
        <f t="shared" si="300"/>
        <v>2.2919999999999998</v>
      </c>
      <c r="D327">
        <f t="shared" si="301"/>
        <v>1.2919999999999998</v>
      </c>
      <c r="E327">
        <f t="shared" si="302"/>
        <v>129199.99999999999</v>
      </c>
      <c r="F327">
        <f t="shared" si="303"/>
        <v>964179104.47761178</v>
      </c>
      <c r="G327">
        <f t="shared" si="304"/>
        <v>2.8649999999999998</v>
      </c>
      <c r="H327">
        <f t="shared" si="298"/>
        <v>1.8615370209220963</v>
      </c>
      <c r="I327">
        <f t="shared" si="299"/>
        <v>1.18895E-3</v>
      </c>
      <c r="J327">
        <f t="shared" si="305"/>
        <v>2.3221679687500001E-11</v>
      </c>
    </row>
    <row r="328" spans="1:48">
      <c r="A328">
        <v>1.3113999999999999</v>
      </c>
      <c r="B328">
        <v>72.914000000000001</v>
      </c>
      <c r="C328">
        <f t="shared" si="300"/>
        <v>2.3113999999999999</v>
      </c>
      <c r="D328">
        <f t="shared" si="301"/>
        <v>1.3113999999999999</v>
      </c>
      <c r="E328">
        <f t="shared" si="302"/>
        <v>131140</v>
      </c>
      <c r="F328">
        <f t="shared" si="303"/>
        <v>978656716.41791046</v>
      </c>
      <c r="G328">
        <f t="shared" si="304"/>
        <v>2.8892499999999997</v>
      </c>
      <c r="H328">
        <f t="shared" si="298"/>
        <v>1.8725071965617952</v>
      </c>
      <c r="I328">
        <f t="shared" si="299"/>
        <v>1.2152333333333334E-3</v>
      </c>
      <c r="J328">
        <f t="shared" si="305"/>
        <v>2.3735026041666669E-11</v>
      </c>
    </row>
    <row r="329" spans="1:48">
      <c r="A329">
        <v>1.3324</v>
      </c>
      <c r="B329">
        <v>74.209999999999994</v>
      </c>
      <c r="C329">
        <f t="shared" si="300"/>
        <v>2.3323999999999998</v>
      </c>
      <c r="D329">
        <f t="shared" si="301"/>
        <v>1.3323999999999998</v>
      </c>
      <c r="E329">
        <f t="shared" si="302"/>
        <v>133239.99999999997</v>
      </c>
      <c r="F329">
        <f t="shared" si="303"/>
        <v>994328358.20895493</v>
      </c>
      <c r="G329">
        <f t="shared" si="304"/>
        <v>2.9154999999999998</v>
      </c>
      <c r="H329">
        <f t="shared" si="298"/>
        <v>1.8843821289552836</v>
      </c>
      <c r="I329">
        <f t="shared" si="299"/>
        <v>1.2368333333333333E-3</v>
      </c>
      <c r="J329">
        <f t="shared" si="305"/>
        <v>2.4156901041666666E-11</v>
      </c>
    </row>
    <row r="330" spans="1:48">
      <c r="A330">
        <v>1.3512999999999999</v>
      </c>
      <c r="B330">
        <v>75.769000000000005</v>
      </c>
      <c r="C330">
        <f t="shared" si="300"/>
        <v>2.3513000000000002</v>
      </c>
      <c r="D330">
        <f t="shared" si="301"/>
        <v>1.3513000000000002</v>
      </c>
      <c r="E330">
        <f t="shared" si="302"/>
        <v>135130.00000000003</v>
      </c>
      <c r="F330">
        <f t="shared" si="303"/>
        <v>1008432835.8208957</v>
      </c>
      <c r="G330">
        <f t="shared" si="304"/>
        <v>2.9391250000000002</v>
      </c>
      <c r="H330">
        <f t="shared" si="298"/>
        <v>1.895069568109423</v>
      </c>
      <c r="I330">
        <f t="shared" si="299"/>
        <v>1.2628166666666667E-3</v>
      </c>
      <c r="J330">
        <f t="shared" si="305"/>
        <v>2.4664388020833334E-11</v>
      </c>
    </row>
    <row r="331" spans="1:48">
      <c r="A331">
        <v>1.3752</v>
      </c>
      <c r="B331">
        <v>77.006</v>
      </c>
      <c r="C331">
        <f t="shared" si="300"/>
        <v>2.3752</v>
      </c>
      <c r="D331">
        <f t="shared" si="301"/>
        <v>1.3752</v>
      </c>
      <c r="E331">
        <f t="shared" si="302"/>
        <v>137520</v>
      </c>
      <c r="F331">
        <f t="shared" si="303"/>
        <v>1026268656.7164179</v>
      </c>
      <c r="G331">
        <f t="shared" si="304"/>
        <v>2.9689999999999999</v>
      </c>
      <c r="H331">
        <f t="shared" si="298"/>
        <v>1.9085843721191553</v>
      </c>
      <c r="I331">
        <f t="shared" si="299"/>
        <v>1.2834333333333334E-3</v>
      </c>
      <c r="J331">
        <f t="shared" si="305"/>
        <v>2.5067057291666667E-11</v>
      </c>
    </row>
    <row r="332" spans="1:48">
      <c r="A332">
        <v>1.3912</v>
      </c>
      <c r="B332">
        <v>78.424000000000007</v>
      </c>
      <c r="C332">
        <f t="shared" si="300"/>
        <v>2.3912</v>
      </c>
      <c r="D332">
        <f t="shared" si="301"/>
        <v>1.3912</v>
      </c>
      <c r="E332">
        <f t="shared" si="302"/>
        <v>139120</v>
      </c>
      <c r="F332">
        <f t="shared" si="303"/>
        <v>1038208955.2238805</v>
      </c>
      <c r="G332">
        <f t="shared" si="304"/>
        <v>2.9889999999999999</v>
      </c>
      <c r="H332">
        <f t="shared" si="298"/>
        <v>1.9176319396570514</v>
      </c>
      <c r="I332">
        <f t="shared" si="299"/>
        <v>1.3070666666666667E-3</v>
      </c>
      <c r="J332">
        <f t="shared" si="305"/>
        <v>2.5528645833333335E-11</v>
      </c>
    </row>
    <row r="333" spans="1:48">
      <c r="A333">
        <v>1.4136</v>
      </c>
      <c r="B333">
        <v>79.900000000000006</v>
      </c>
      <c r="C333">
        <f t="shared" si="300"/>
        <v>2.4135999999999997</v>
      </c>
      <c r="D333">
        <f t="shared" si="301"/>
        <v>1.4135999999999997</v>
      </c>
      <c r="E333">
        <f t="shared" si="302"/>
        <v>141359.99999999997</v>
      </c>
      <c r="F333">
        <f t="shared" si="303"/>
        <v>1054925373.1343281</v>
      </c>
      <c r="G333">
        <f t="shared" si="304"/>
        <v>3.0169999999999995</v>
      </c>
      <c r="H333">
        <f t="shared" si="298"/>
        <v>1.9302985342101056</v>
      </c>
      <c r="I333">
        <f t="shared" si="299"/>
        <v>1.3316666666666668E-3</v>
      </c>
      <c r="J333">
        <f t="shared" si="305"/>
        <v>2.6009114583333334E-11</v>
      </c>
    </row>
    <row r="334" spans="1:48">
      <c r="A334">
        <v>1.4311</v>
      </c>
      <c r="B334">
        <v>81.25</v>
      </c>
      <c r="C334">
        <f t="shared" si="300"/>
        <v>2.4310999999999998</v>
      </c>
      <c r="D334">
        <f t="shared" si="301"/>
        <v>1.4310999999999998</v>
      </c>
      <c r="E334">
        <f t="shared" si="302"/>
        <v>143109.99999999997</v>
      </c>
      <c r="F334">
        <f t="shared" si="303"/>
        <v>1067985074.6268654</v>
      </c>
      <c r="G334">
        <f t="shared" si="304"/>
        <v>3.038875</v>
      </c>
      <c r="H334">
        <f t="shared" si="298"/>
        <v>1.9401943112046793</v>
      </c>
      <c r="I334">
        <f t="shared" si="299"/>
        <v>1.3541666666666667E-3</v>
      </c>
      <c r="J334">
        <f t="shared" si="305"/>
        <v>2.6448567708333334E-11</v>
      </c>
    </row>
    <row r="335" spans="1:48">
      <c r="A335">
        <v>1.4521999999999999</v>
      </c>
      <c r="B335">
        <v>82.677999999999997</v>
      </c>
      <c r="C335">
        <f t="shared" si="300"/>
        <v>2.4521999999999999</v>
      </c>
      <c r="D335">
        <f t="shared" si="301"/>
        <v>1.4521999999999999</v>
      </c>
      <c r="E335">
        <f t="shared" si="302"/>
        <v>145220</v>
      </c>
      <c r="F335">
        <f t="shared" si="303"/>
        <v>1083731343.283582</v>
      </c>
      <c r="G335">
        <f t="shared" si="304"/>
        <v>3.0652499999999998</v>
      </c>
      <c r="H335">
        <f t="shared" si="298"/>
        <v>1.9521257908952798</v>
      </c>
      <c r="I335">
        <f t="shared" si="299"/>
        <v>1.3779666666666665E-3</v>
      </c>
      <c r="J335">
        <f t="shared" si="305"/>
        <v>2.6913411458333331E-11</v>
      </c>
    </row>
    <row r="336" spans="1:48">
      <c r="A336">
        <v>1.4738</v>
      </c>
      <c r="B336">
        <v>83.926000000000002</v>
      </c>
      <c r="C336">
        <f t="shared" si="300"/>
        <v>2.4737999999999998</v>
      </c>
      <c r="D336">
        <f t="shared" si="301"/>
        <v>1.4737999999999998</v>
      </c>
      <c r="E336">
        <f t="shared" si="302"/>
        <v>147379.99999999997</v>
      </c>
      <c r="F336">
        <f t="shared" si="303"/>
        <v>1099850746.2686565</v>
      </c>
      <c r="G336">
        <f t="shared" si="304"/>
        <v>3.0922499999999999</v>
      </c>
      <c r="H336">
        <f t="shared" si="298"/>
        <v>1.9643400070714392</v>
      </c>
      <c r="I336">
        <f t="shared" si="299"/>
        <v>1.3987666666666666E-3</v>
      </c>
      <c r="J336">
        <f t="shared" si="305"/>
        <v>2.7319661458333333E-11</v>
      </c>
    </row>
    <row r="337" spans="1:10">
      <c r="A337">
        <v>1.4912000000000001</v>
      </c>
      <c r="B337">
        <v>85.436999999999998</v>
      </c>
      <c r="C337">
        <f t="shared" si="300"/>
        <v>2.4912000000000001</v>
      </c>
      <c r="D337">
        <f t="shared" si="301"/>
        <v>1.4912000000000001</v>
      </c>
      <c r="E337">
        <f t="shared" si="302"/>
        <v>149120</v>
      </c>
      <c r="F337">
        <f t="shared" si="303"/>
        <v>1112835820.8955224</v>
      </c>
      <c r="G337">
        <f t="shared" si="304"/>
        <v>3.1139999999999999</v>
      </c>
      <c r="H337">
        <f t="shared" si="298"/>
        <v>1.9741792367689011</v>
      </c>
      <c r="I337">
        <f t="shared" si="299"/>
        <v>1.42395E-3</v>
      </c>
      <c r="J337">
        <f t="shared" si="305"/>
        <v>2.78115234375E-11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lvtemporary_133125</vt:lpstr>
      <vt:lpstr>film thickness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Local.la</dc:creator>
  <cp:lastModifiedBy>hanieh</cp:lastModifiedBy>
  <dcterms:created xsi:type="dcterms:W3CDTF">2015-11-30T08:11:57Z</dcterms:created>
  <dcterms:modified xsi:type="dcterms:W3CDTF">2015-12-03T16:15:58Z</dcterms:modified>
</cp:coreProperties>
</file>