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2"/>
  </bookViews>
  <sheets>
    <sheet name="CH3COOH+H2O2" sheetId="1" r:id="rId1"/>
    <sheet name="CH3COOH+H2O2+H2O" sheetId="2" r:id="rId2"/>
    <sheet name="CH3COOH+H2O2+Fe2+" sheetId="3" r:id="rId3"/>
  </sheets>
  <definedNames/>
  <calcPr fullCalcOnLoad="1"/>
</workbook>
</file>

<file path=xl/sharedStrings.xml><?xml version="1.0" encoding="utf-8"?>
<sst xmlns="http://schemas.openxmlformats.org/spreadsheetml/2006/main" count="153" uniqueCount="20">
  <si>
    <t>CH3COOH+H2O2</t>
  </si>
  <si>
    <t>Benzothiophene</t>
  </si>
  <si>
    <t>3-methyl thiophene</t>
  </si>
  <si>
    <t>Thiophene</t>
  </si>
  <si>
    <t>100 ppm</t>
  </si>
  <si>
    <t>300 ppm</t>
  </si>
  <si>
    <t>500 ppm</t>
  </si>
  <si>
    <t>ATMOSPHERIC PRESSURE</t>
  </si>
  <si>
    <t>2.5 BAR PRESSURE</t>
  </si>
  <si>
    <t>BT</t>
  </si>
  <si>
    <t>3MT</t>
  </si>
  <si>
    <t>Thp</t>
  </si>
  <si>
    <t>CH3COOH+H2O2+H2O</t>
  </si>
  <si>
    <t>CH3COOH+H2O2+Fe2+</t>
  </si>
  <si>
    <t>(B)</t>
  </si>
  <si>
    <t>(C)</t>
  </si>
  <si>
    <t>1st Order
Kinetics</t>
  </si>
  <si>
    <t>Time
(min)</t>
  </si>
  <si>
    <t>Representative graph depicting experimental data along with 1st order fitted kinetics for oxidation of benzothiophene at different initial concentrations using peracetic acid oxidation system at 1 bar and 2.5 bar static pressure</t>
  </si>
  <si>
    <r>
      <t>R</t>
    </r>
    <r>
      <rPr>
        <b/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</si>
</sst>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0"/>
    </font>
    <font>
      <sz val="10.1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19"/>
          <c:w val="0.93425"/>
          <c:h val="0.71325"/>
        </c:manualLayout>
      </c:layout>
      <c:scatterChart>
        <c:scatterStyle val="smoothMarker"/>
        <c:varyColors val="0"/>
        <c:ser>
          <c:idx val="0"/>
          <c:order val="0"/>
          <c:tx>
            <c:v>100 ppm (1 bar expt)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'CH3COOH+H2O2'!$B$6:$B$12</c:f>
              <c:numCache/>
            </c:numRef>
          </c:xVal>
          <c:yVal>
            <c:numRef>
              <c:f>'CH3COOH+H2O2'!$C$6:$C$12</c:f>
              <c:numCache/>
            </c:numRef>
          </c:yVal>
          <c:smooth val="1"/>
        </c:ser>
        <c:ser>
          <c:idx val="1"/>
          <c:order val="1"/>
          <c:tx>
            <c:v>100 ppm (1 bar 1st order)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'CH3COOH+H2O2'!$B$6:$B$12</c:f>
              <c:numCache/>
            </c:numRef>
          </c:xVal>
          <c:yVal>
            <c:numRef>
              <c:f>'CH3COOH+H2O2'!$D$6:$D$12</c:f>
              <c:numCache/>
            </c:numRef>
          </c:yVal>
          <c:smooth val="1"/>
        </c:ser>
        <c:ser>
          <c:idx val="2"/>
          <c:order val="2"/>
          <c:tx>
            <c:v>300 ppm (1 bat expt)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'CH3COOH+H2O2'!$B$6:$B$12</c:f>
              <c:numCache/>
            </c:numRef>
          </c:xVal>
          <c:yVal>
            <c:numRef>
              <c:f>'CH3COOH+H2O2'!$E$6:$E$12</c:f>
              <c:numCache/>
            </c:numRef>
          </c:yVal>
          <c:smooth val="1"/>
        </c:ser>
        <c:ser>
          <c:idx val="3"/>
          <c:order val="3"/>
          <c:tx>
            <c:v>300 ppm (1 bar 1st order)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'CH3COOH+H2O2'!$B$6:$B$12</c:f>
              <c:numCache/>
            </c:numRef>
          </c:xVal>
          <c:yVal>
            <c:numRef>
              <c:f>'CH3COOH+H2O2'!$F$6:$F$12</c:f>
              <c:numCache/>
            </c:numRef>
          </c:yVal>
          <c:smooth val="1"/>
        </c:ser>
        <c:ser>
          <c:idx val="4"/>
          <c:order val="4"/>
          <c:tx>
            <c:v>500 ppm (1 bar expt)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'CH3COOH+H2O2'!$B$6:$B$12</c:f>
              <c:numCache/>
            </c:numRef>
          </c:xVal>
          <c:yVal>
            <c:numRef>
              <c:f>'CH3COOH+H2O2'!$G$6:$G$12</c:f>
              <c:numCache/>
            </c:numRef>
          </c:yVal>
          <c:smooth val="1"/>
        </c:ser>
        <c:ser>
          <c:idx val="5"/>
          <c:order val="5"/>
          <c:tx>
            <c:v>500 ppm (1 bar 1st order)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'CH3COOH+H2O2'!$B$6:$B$12</c:f>
              <c:numCache/>
            </c:numRef>
          </c:xVal>
          <c:yVal>
            <c:numRef>
              <c:f>'CH3COOH+H2O2'!$H$6:$H$12</c:f>
              <c:numCache/>
            </c:numRef>
          </c:yVal>
          <c:smooth val="1"/>
        </c:ser>
        <c:ser>
          <c:idx val="6"/>
          <c:order val="6"/>
          <c:tx>
            <c:v>100 ppm (2.5 bar expt)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'CH3COOH+H2O2'!$B$17:$B$23</c:f>
              <c:numCache/>
            </c:numRef>
          </c:xVal>
          <c:yVal>
            <c:numRef>
              <c:f>'CH3COOH+H2O2'!$C$17:$C$23</c:f>
              <c:numCache/>
            </c:numRef>
          </c:yVal>
          <c:smooth val="1"/>
        </c:ser>
        <c:ser>
          <c:idx val="7"/>
          <c:order val="7"/>
          <c:tx>
            <c:v>100 ppm (2.5 bar 1st order)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'CH3COOH+H2O2'!$B$17:$B$23</c:f>
              <c:numCache/>
            </c:numRef>
          </c:xVal>
          <c:yVal>
            <c:numRef>
              <c:f>'CH3COOH+H2O2'!$D$17:$D$23</c:f>
              <c:numCache/>
            </c:numRef>
          </c:yVal>
          <c:smooth val="1"/>
        </c:ser>
        <c:ser>
          <c:idx val="8"/>
          <c:order val="8"/>
          <c:tx>
            <c:v>300 ppm (2.5 bar expt)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'CH3COOH+H2O2'!$B$17:$B$23</c:f>
              <c:numCache/>
            </c:numRef>
          </c:xVal>
          <c:yVal>
            <c:numRef>
              <c:f>'CH3COOH+H2O2'!$E$17:$E$23</c:f>
              <c:numCache/>
            </c:numRef>
          </c:yVal>
          <c:smooth val="1"/>
        </c:ser>
        <c:ser>
          <c:idx val="9"/>
          <c:order val="9"/>
          <c:tx>
            <c:v>300 ppm (2.5 bar 1st order)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'CH3COOH+H2O2'!$B$17:$B$23</c:f>
              <c:numCache/>
            </c:numRef>
          </c:xVal>
          <c:yVal>
            <c:numRef>
              <c:f>'CH3COOH+H2O2'!$F$17:$F$23</c:f>
              <c:numCache/>
            </c:numRef>
          </c:yVal>
          <c:smooth val="1"/>
        </c:ser>
        <c:ser>
          <c:idx val="10"/>
          <c:order val="10"/>
          <c:tx>
            <c:v>500 ppm (2.5 bar expt)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'CH3COOH+H2O2'!$B$17:$B$23</c:f>
              <c:numCache/>
            </c:numRef>
          </c:xVal>
          <c:yVal>
            <c:numRef>
              <c:f>'CH3COOH+H2O2'!$G$17:$G$23</c:f>
              <c:numCache/>
            </c:numRef>
          </c:yVal>
          <c:smooth val="1"/>
        </c:ser>
        <c:ser>
          <c:idx val="11"/>
          <c:order val="11"/>
          <c:tx>
            <c:v>500 ppm (2.5 bar 1st order)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'CH3COOH+H2O2'!$B$17:$B$23</c:f>
              <c:numCache/>
            </c:numRef>
          </c:xVal>
          <c:yVal>
            <c:numRef>
              <c:f>'CH3COOH+H2O2'!$H$17:$H$23</c:f>
              <c:numCache/>
            </c:numRef>
          </c:yVal>
          <c:smooth val="1"/>
        </c:ser>
        <c:axId val="66935054"/>
        <c:axId val="65544575"/>
      </c:scatterChart>
      <c:valAx>
        <c:axId val="66935054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44575"/>
        <c:crosses val="autoZero"/>
        <c:crossBetween val="midCat"/>
        <c:dispUnits/>
        <c:majorUnit val="15"/>
      </c:valAx>
      <c:valAx>
        <c:axId val="6554457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Reduction in Concentration (%)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35054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45"/>
          <c:y val="0.8055"/>
          <c:w val="0.9295"/>
          <c:h val="0.1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2125"/>
          <c:w val="0.9345"/>
          <c:h val="0.78125"/>
        </c:manualLayout>
      </c:layout>
      <c:scatterChart>
        <c:scatterStyle val="smoothMarker"/>
        <c:varyColors val="0"/>
        <c:ser>
          <c:idx val="0"/>
          <c:order val="0"/>
          <c:tx>
            <c:v>100 ppm (1 bar)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'CH3COOH+H2O2'!$B$6:$B$12</c:f>
              <c:numCache/>
            </c:numRef>
          </c:xVal>
          <c:yVal>
            <c:numRef>
              <c:f>'CH3COOH+H2O2'!$O$6:$O$12</c:f>
              <c:numCache/>
            </c:numRef>
          </c:yVal>
          <c:smooth val="1"/>
        </c:ser>
        <c:ser>
          <c:idx val="1"/>
          <c:order val="1"/>
          <c:tx>
            <c:v>300 ppm (1 bar)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'CH3COOH+H2O2'!$B$6:$B$12</c:f>
              <c:numCache/>
            </c:numRef>
          </c:xVal>
          <c:yVal>
            <c:numRef>
              <c:f>'CH3COOH+H2O2'!$Q$6:$Q$12</c:f>
              <c:numCache/>
            </c:numRef>
          </c:yVal>
          <c:smooth val="1"/>
        </c:ser>
        <c:ser>
          <c:idx val="2"/>
          <c:order val="2"/>
          <c:tx>
            <c:v>500 ppm (1 bar)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'CH3COOH+H2O2'!$B$6:$B$12</c:f>
              <c:numCache/>
            </c:numRef>
          </c:xVal>
          <c:yVal>
            <c:numRef>
              <c:f>'CH3COOH+H2O2'!$S$6:$S$12</c:f>
              <c:numCache/>
            </c:numRef>
          </c:yVal>
          <c:smooth val="1"/>
        </c:ser>
        <c:ser>
          <c:idx val="3"/>
          <c:order val="3"/>
          <c:tx>
            <c:v>100 ppm (2.5 bar)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'CH3COOH+H2O2'!$B$17:$B$23</c:f>
              <c:numCache/>
            </c:numRef>
          </c:xVal>
          <c:yVal>
            <c:numRef>
              <c:f>'CH3COOH+H2O2'!$O$17:$O$23</c:f>
              <c:numCache/>
            </c:numRef>
          </c:yVal>
          <c:smooth val="1"/>
        </c:ser>
        <c:ser>
          <c:idx val="4"/>
          <c:order val="4"/>
          <c:tx>
            <c:v>300 ppm (2.5 bar)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'CH3COOH+H2O2'!$B$17:$B$23</c:f>
              <c:numCache/>
            </c:numRef>
          </c:xVal>
          <c:yVal>
            <c:numRef>
              <c:f>'CH3COOH+H2O2'!$Q$17:$Q$23</c:f>
              <c:numCache/>
            </c:numRef>
          </c:yVal>
          <c:smooth val="1"/>
        </c:ser>
        <c:ser>
          <c:idx val="5"/>
          <c:order val="5"/>
          <c:tx>
            <c:v>500 ppm (2.5 bar)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'CH3COOH+H2O2'!$B$17:$B$23</c:f>
              <c:numCache/>
            </c:numRef>
          </c:xVal>
          <c:yVal>
            <c:numRef>
              <c:f>'CH3COOH+H2O2'!$S$17:$S$23</c:f>
              <c:numCache/>
            </c:numRef>
          </c:yVal>
          <c:smooth val="1"/>
        </c:ser>
        <c:axId val="53030264"/>
        <c:axId val="7510329"/>
      </c:scatterChart>
      <c:valAx>
        <c:axId val="53030264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10329"/>
        <c:crosses val="autoZero"/>
        <c:crossBetween val="midCat"/>
        <c:dispUnits/>
        <c:majorUnit val="15"/>
      </c:valAx>
      <c:valAx>
        <c:axId val="751032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Reduction in Concentration (%)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30264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05"/>
          <c:y val="0.8845"/>
          <c:w val="0.6605"/>
          <c:h val="0.1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0185"/>
          <c:w val="0.93225"/>
          <c:h val="0.80775"/>
        </c:manualLayout>
      </c:layout>
      <c:scatterChart>
        <c:scatterStyle val="smoothMarker"/>
        <c:varyColors val="0"/>
        <c:ser>
          <c:idx val="0"/>
          <c:order val="0"/>
          <c:tx>
            <c:v>100 ppm (1 bar)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'CH3COOH+H2O2+H2O'!$C$4:$C$10</c:f>
              <c:strCache/>
            </c:strRef>
          </c:xVal>
          <c:yVal>
            <c:numRef>
              <c:f>'CH3COOH+H2O2+H2O'!$J$4:$J$10</c:f>
              <c:numCache/>
            </c:numRef>
          </c:yVal>
          <c:smooth val="1"/>
        </c:ser>
        <c:ser>
          <c:idx val="1"/>
          <c:order val="1"/>
          <c:tx>
            <c:v>300 ppm (1 bar)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'CH3COOH+H2O2+H2O'!$C$4:$C$10</c:f>
              <c:strCache/>
            </c:strRef>
          </c:xVal>
          <c:yVal>
            <c:numRef>
              <c:f>'CH3COOH+H2O2+H2O'!$K$4:$K$10</c:f>
              <c:numCache/>
            </c:numRef>
          </c:yVal>
          <c:smooth val="1"/>
        </c:ser>
        <c:ser>
          <c:idx val="2"/>
          <c:order val="2"/>
          <c:tx>
            <c:v>500 ppm (1 bar)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'CH3COOH+H2O2+H2O'!$C$4:$C$10</c:f>
              <c:strCache/>
            </c:strRef>
          </c:xVal>
          <c:yVal>
            <c:numRef>
              <c:f>'CH3COOH+H2O2+H2O'!$L$4:$L$10</c:f>
              <c:numCache/>
            </c:numRef>
          </c:yVal>
          <c:smooth val="1"/>
        </c:ser>
        <c:ser>
          <c:idx val="3"/>
          <c:order val="3"/>
          <c:tx>
            <c:v>100 ppm (2.5 bar)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'CH3COOH+H2O2+H2O'!$C$15:$C$21</c:f>
              <c:strCache/>
            </c:strRef>
          </c:xVal>
          <c:yVal>
            <c:numRef>
              <c:f>'CH3COOH+H2O2+H2O'!$J$15:$J$21</c:f>
              <c:numCache/>
            </c:numRef>
          </c:yVal>
          <c:smooth val="1"/>
        </c:ser>
        <c:ser>
          <c:idx val="4"/>
          <c:order val="4"/>
          <c:tx>
            <c:v>300 ppm (2.5 bar)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'CH3COOH+H2O2+H2O'!$C$15:$C$21</c:f>
              <c:strCache/>
            </c:strRef>
          </c:xVal>
          <c:yVal>
            <c:numRef>
              <c:f>'CH3COOH+H2O2+H2O'!$K$15:$K$21</c:f>
              <c:numCache/>
            </c:numRef>
          </c:yVal>
          <c:smooth val="1"/>
        </c:ser>
        <c:ser>
          <c:idx val="5"/>
          <c:order val="5"/>
          <c:tx>
            <c:v>500 ppm (2.5 bar)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'CH3COOH+H2O2+H2O'!$C$15:$C$21</c:f>
              <c:strCache/>
            </c:strRef>
          </c:xVal>
          <c:yVal>
            <c:numRef>
              <c:f>'CH3COOH+H2O2+H2O'!$L$15:$L$21</c:f>
              <c:numCache/>
            </c:numRef>
          </c:yVal>
          <c:smooth val="1"/>
        </c:ser>
        <c:axId val="484098"/>
        <c:axId val="4356883"/>
      </c:scatterChart>
      <c:valAx>
        <c:axId val="484098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6883"/>
        <c:crosses val="autoZero"/>
        <c:crossBetween val="midCat"/>
        <c:dispUnits/>
        <c:majorUnit val="15"/>
      </c:valAx>
      <c:valAx>
        <c:axId val="435688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Reduction in Concentration (%)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098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05"/>
          <c:y val="0.89825"/>
          <c:w val="0.712"/>
          <c:h val="0.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2</xdr:row>
      <xdr:rowOff>0</xdr:rowOff>
    </xdr:from>
    <xdr:to>
      <xdr:col>32</xdr:col>
      <xdr:colOff>19050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12811125" y="361950"/>
        <a:ext cx="671512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59</xdr:row>
      <xdr:rowOff>0</xdr:rowOff>
    </xdr:from>
    <xdr:to>
      <xdr:col>32</xdr:col>
      <xdr:colOff>28575</xdr:colOff>
      <xdr:row>86</xdr:row>
      <xdr:rowOff>0</xdr:rowOff>
    </xdr:to>
    <xdr:graphicFrame>
      <xdr:nvGraphicFramePr>
        <xdr:cNvPr id="2" name="Chart 3"/>
        <xdr:cNvGraphicFramePr/>
      </xdr:nvGraphicFramePr>
      <xdr:xfrm>
        <a:off x="12801600" y="10525125"/>
        <a:ext cx="67341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58</xdr:row>
      <xdr:rowOff>0</xdr:rowOff>
    </xdr:from>
    <xdr:to>
      <xdr:col>23</xdr:col>
      <xdr:colOff>28575</xdr:colOff>
      <xdr:row>85</xdr:row>
      <xdr:rowOff>0</xdr:rowOff>
    </xdr:to>
    <xdr:graphicFrame>
      <xdr:nvGraphicFramePr>
        <xdr:cNvPr id="1" name="Chart 3"/>
        <xdr:cNvGraphicFramePr/>
      </xdr:nvGraphicFramePr>
      <xdr:xfrm>
        <a:off x="7315200" y="10677525"/>
        <a:ext cx="673417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87"/>
  <sheetViews>
    <sheetView zoomScalePageLayoutView="0" workbookViewId="0" topLeftCell="B1">
      <selection activeCell="E29" sqref="E29"/>
    </sheetView>
  </sheetViews>
  <sheetFormatPr defaultColWidth="9.140625" defaultRowHeight="12.75"/>
  <cols>
    <col min="27" max="27" width="9.140625" style="3" customWidth="1"/>
  </cols>
  <sheetData>
    <row r="2" spans="2:20" ht="15.75"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2:20" ht="12.75">
      <c r="B3" s="31" t="s">
        <v>7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2:20" ht="12.75">
      <c r="B4" s="23" t="s">
        <v>17</v>
      </c>
      <c r="C4" s="25" t="s">
        <v>1</v>
      </c>
      <c r="D4" s="26"/>
      <c r="E4" s="26"/>
      <c r="F4" s="26"/>
      <c r="G4" s="26"/>
      <c r="H4" s="27"/>
      <c r="I4" s="26" t="s">
        <v>2</v>
      </c>
      <c r="J4" s="26"/>
      <c r="K4" s="26"/>
      <c r="L4" s="26"/>
      <c r="M4" s="26"/>
      <c r="N4" s="27"/>
      <c r="O4" s="25" t="s">
        <v>3</v>
      </c>
      <c r="P4" s="26"/>
      <c r="Q4" s="26"/>
      <c r="R4" s="26"/>
      <c r="S4" s="26"/>
      <c r="T4" s="26"/>
    </row>
    <row r="5" spans="2:20" ht="25.5">
      <c r="B5" s="24"/>
      <c r="C5" s="9" t="s">
        <v>4</v>
      </c>
      <c r="D5" s="10" t="s">
        <v>16</v>
      </c>
      <c r="E5" s="9" t="s">
        <v>5</v>
      </c>
      <c r="F5" s="10" t="s">
        <v>16</v>
      </c>
      <c r="G5" s="9" t="s">
        <v>6</v>
      </c>
      <c r="H5" s="13" t="s">
        <v>16</v>
      </c>
      <c r="I5" s="9" t="s">
        <v>4</v>
      </c>
      <c r="J5" s="10" t="s">
        <v>16</v>
      </c>
      <c r="K5" s="9" t="s">
        <v>5</v>
      </c>
      <c r="L5" s="10" t="s">
        <v>16</v>
      </c>
      <c r="M5" s="9" t="s">
        <v>6</v>
      </c>
      <c r="N5" s="13" t="s">
        <v>16</v>
      </c>
      <c r="O5" s="9" t="s">
        <v>4</v>
      </c>
      <c r="P5" s="10" t="s">
        <v>16</v>
      </c>
      <c r="Q5" s="9" t="s">
        <v>5</v>
      </c>
      <c r="R5" s="10" t="s">
        <v>16</v>
      </c>
      <c r="S5" s="9" t="s">
        <v>6</v>
      </c>
      <c r="T5" s="10" t="s">
        <v>16</v>
      </c>
    </row>
    <row r="6" spans="2:20" ht="12.75">
      <c r="B6" s="8">
        <v>0</v>
      </c>
      <c r="C6" s="5">
        <v>0</v>
      </c>
      <c r="D6" s="5">
        <f>+(1-EXP($B6*(-0.0062916)))*100</f>
        <v>0</v>
      </c>
      <c r="E6" s="5">
        <v>0</v>
      </c>
      <c r="F6" s="5">
        <f>+(1-EXP($B6*(-0.0057887)))*100</f>
        <v>0</v>
      </c>
      <c r="G6" s="5">
        <v>0</v>
      </c>
      <c r="H6" s="6">
        <f>+(1-EXP($B6*(-0.0057249)))*100</f>
        <v>0</v>
      </c>
      <c r="I6" s="5">
        <v>0</v>
      </c>
      <c r="J6" s="5">
        <f>+(1-EXP($B6*(-0.0056055)))*100</f>
        <v>0</v>
      </c>
      <c r="K6" s="5">
        <v>0</v>
      </c>
      <c r="L6" s="5">
        <f>+(1-EXP($B6*(-0.0063963)))*100</f>
        <v>0</v>
      </c>
      <c r="M6" s="5">
        <v>0</v>
      </c>
      <c r="N6" s="6">
        <f>+(1-EXP($B6*(-0.0056129)))*100</f>
        <v>0</v>
      </c>
      <c r="O6" s="5">
        <v>0</v>
      </c>
      <c r="P6" s="5">
        <f>+(1-EXP($B6*(-0.0063179)))*100</f>
        <v>0</v>
      </c>
      <c r="Q6" s="5">
        <v>0</v>
      </c>
      <c r="R6" s="5">
        <f>+(1-EXP($B6*(-0.0059007)))*100</f>
        <v>0</v>
      </c>
      <c r="S6" s="5">
        <v>0</v>
      </c>
      <c r="T6" s="5">
        <f>+(1-EXP($B6*(-0.0062525)))*100</f>
        <v>0</v>
      </c>
    </row>
    <row r="7" spans="2:20" ht="12.75">
      <c r="B7" s="8">
        <v>15</v>
      </c>
      <c r="C7" s="5">
        <v>5.0361143875567045</v>
      </c>
      <c r="D7" s="5">
        <f aca="true" t="shared" si="0" ref="D7:D12">+(1-EXP($B7*(-0.0062916)))*100</f>
        <v>9.00576198568912</v>
      </c>
      <c r="E7" s="5">
        <v>5.519194723482393</v>
      </c>
      <c r="F7" s="5">
        <f aca="true" t="shared" si="1" ref="F7:F12">+(1-EXP($B7*(-0.0057887)))*100</f>
        <v>8.316751443021275</v>
      </c>
      <c r="G7" s="5">
        <v>3.094619475048605</v>
      </c>
      <c r="H7" s="6">
        <f aca="true" t="shared" si="2" ref="H7:H12">+(1-EXP($B7*(-0.0057249)))*100</f>
        <v>8.228968576750395</v>
      </c>
      <c r="I7" s="5">
        <v>2.298394211795653</v>
      </c>
      <c r="J7" s="5">
        <f aca="true" t="shared" si="3" ref="J7:J12">+(1-EXP($B7*(-0.0056055)))*100</f>
        <v>8.064459385464973</v>
      </c>
      <c r="K7" s="5">
        <v>6.813411605642034</v>
      </c>
      <c r="L7" s="5">
        <f aca="true" t="shared" si="4" ref="L7:L12">+(1-EXP($B7*(-0.0063963)))*100</f>
        <v>9.148556277922804</v>
      </c>
      <c r="M7" s="5">
        <v>3.5286547248410374</v>
      </c>
      <c r="N7" s="6">
        <f aca="true" t="shared" si="5" ref="N7:N12">+(1-EXP($B7*(-0.0056129)))*100</f>
        <v>8.074663664125236</v>
      </c>
      <c r="O7" s="5">
        <v>5.549541155866901</v>
      </c>
      <c r="P7" s="5">
        <f aca="true" t="shared" si="6" ref="P7:P12">+(1-EXP($B7*(-0.0063179)))*100</f>
        <v>9.04165213278879</v>
      </c>
      <c r="Q7" s="5">
        <v>6.563131348511387</v>
      </c>
      <c r="R7" s="5">
        <f aca="true" t="shared" si="7" ref="R7:R12">+(1-EXP($B7*(-0.0059007)))*100</f>
        <v>8.470649989620927</v>
      </c>
      <c r="S7" s="5">
        <v>7.414021871959524</v>
      </c>
      <c r="T7" s="5">
        <f aca="true" t="shared" si="8" ref="T7:T12">+(1-EXP($B7*(-0.0062525)))*100</f>
        <v>8.9523782118323</v>
      </c>
    </row>
    <row r="8" spans="2:20" ht="12.75">
      <c r="B8" s="8">
        <v>30</v>
      </c>
      <c r="C8" s="5">
        <v>12.660635855476347</v>
      </c>
      <c r="D8" s="5">
        <f t="shared" si="0"/>
        <v>17.20048648194942</v>
      </c>
      <c r="E8" s="5">
        <v>11.353964652192698</v>
      </c>
      <c r="F8" s="5">
        <f t="shared" si="1"/>
        <v>15.941819340392593</v>
      </c>
      <c r="G8" s="5">
        <v>8.633941655865193</v>
      </c>
      <c r="H8" s="6">
        <f t="shared" si="2"/>
        <v>15.78077791512933</v>
      </c>
      <c r="I8" s="5">
        <v>9.984822407366805</v>
      </c>
      <c r="J8" s="5">
        <f t="shared" si="3"/>
        <v>15.47856371913181</v>
      </c>
      <c r="K8" s="5">
        <v>15.53258101293576</v>
      </c>
      <c r="L8" s="5">
        <f t="shared" si="4"/>
        <v>17.460151736142393</v>
      </c>
      <c r="M8" s="5">
        <v>8.126372593729451</v>
      </c>
      <c r="N8" s="6">
        <f t="shared" si="5"/>
        <v>15.497325395363038</v>
      </c>
      <c r="O8" s="5">
        <v>13.128485697606543</v>
      </c>
      <c r="P8" s="5">
        <f t="shared" si="6"/>
        <v>17.265789532673935</v>
      </c>
      <c r="Q8" s="5">
        <v>14.821119024453525</v>
      </c>
      <c r="R8" s="5">
        <f t="shared" si="7"/>
        <v>16.223780866775193</v>
      </c>
      <c r="S8" s="5">
        <v>19.39446098462736</v>
      </c>
      <c r="T8" s="5">
        <f t="shared" si="8"/>
        <v>17.10330566718771</v>
      </c>
    </row>
    <row r="9" spans="2:20" ht="12.75">
      <c r="B9" s="8">
        <v>45</v>
      </c>
      <c r="C9" s="5">
        <v>22.209796095268953</v>
      </c>
      <c r="D9" s="5">
        <f t="shared" si="0"/>
        <v>24.657213594693538</v>
      </c>
      <c r="E9" s="5">
        <v>18.097083819399437</v>
      </c>
      <c r="F9" s="5">
        <f t="shared" si="1"/>
        <v>22.93272929337793</v>
      </c>
      <c r="G9" s="5">
        <v>18.68732566429035</v>
      </c>
      <c r="H9" s="6">
        <f t="shared" si="2"/>
        <v>22.711151236076965</v>
      </c>
      <c r="I9" s="5">
        <v>18.045969304976982</v>
      </c>
      <c r="J9" s="5">
        <f t="shared" si="3"/>
        <v>22.294760620014074</v>
      </c>
      <c r="K9" s="5">
        <v>25.719953738215303</v>
      </c>
      <c r="L9" s="5">
        <f t="shared" si="4"/>
        <v>25.011356206273494</v>
      </c>
      <c r="M9" s="5">
        <v>16.404811094058324</v>
      </c>
      <c r="N9" s="6">
        <f t="shared" si="5"/>
        <v>22.32063215687765</v>
      </c>
      <c r="O9" s="5">
        <v>23.453984238178634</v>
      </c>
      <c r="P9" s="5">
        <f t="shared" si="6"/>
        <v>24.746329037938885</v>
      </c>
      <c r="Q9" s="5">
        <v>22.819623597327627</v>
      </c>
      <c r="R9" s="5">
        <f t="shared" si="7"/>
        <v>23.3201711640885</v>
      </c>
      <c r="S9" s="5">
        <v>24.98315092430434</v>
      </c>
      <c r="T9" s="5">
        <f t="shared" si="8"/>
        <v>24.52453126896762</v>
      </c>
    </row>
    <row r="10" spans="2:20" ht="12.75">
      <c r="B10" s="8">
        <v>60</v>
      </c>
      <c r="C10" s="5">
        <v>30.393101749837978</v>
      </c>
      <c r="D10" s="5">
        <f t="shared" si="0"/>
        <v>31.442405611741584</v>
      </c>
      <c r="E10" s="5">
        <v>26.286749432922875</v>
      </c>
      <c r="F10" s="5">
        <f t="shared" si="1"/>
        <v>29.34222264196803</v>
      </c>
      <c r="G10" s="5">
        <v>29.752024351911857</v>
      </c>
      <c r="H10" s="6">
        <f t="shared" si="2"/>
        <v>29.071226314192323</v>
      </c>
      <c r="I10" s="5">
        <v>26.222167287875468</v>
      </c>
      <c r="J10" s="5">
        <f t="shared" si="3"/>
        <v>28.561268090191373</v>
      </c>
      <c r="K10" s="5">
        <v>33.17356274208873</v>
      </c>
      <c r="L10" s="5">
        <f t="shared" si="4"/>
        <v>31.871734485793624</v>
      </c>
      <c r="M10" s="5">
        <v>29.288759701819778</v>
      </c>
      <c r="N10" s="6">
        <f t="shared" si="5"/>
        <v>28.59297984662844</v>
      </c>
      <c r="O10" s="5">
        <v>35.737978984238175</v>
      </c>
      <c r="P10" s="5">
        <f t="shared" si="6"/>
        <v>31.55050418348194</v>
      </c>
      <c r="Q10" s="5">
        <v>30.824440747227086</v>
      </c>
      <c r="R10" s="5">
        <f t="shared" si="7"/>
        <v>29.815451077418984</v>
      </c>
      <c r="S10" s="5">
        <v>33.12566834014399</v>
      </c>
      <c r="T10" s="5">
        <f t="shared" si="8"/>
        <v>31.281380686922866</v>
      </c>
    </row>
    <row r="11" spans="2:20" ht="12.75">
      <c r="B11" s="8">
        <v>75</v>
      </c>
      <c r="C11" s="5">
        <v>42.48953669799093</v>
      </c>
      <c r="D11" s="5">
        <f t="shared" si="0"/>
        <v>37.6165393854623</v>
      </c>
      <c r="E11" s="5">
        <v>41.080090327284516</v>
      </c>
      <c r="F11" s="5">
        <f t="shared" si="1"/>
        <v>35.218654359998915</v>
      </c>
      <c r="G11" s="5">
        <v>38.24903230719378</v>
      </c>
      <c r="H11" s="6">
        <f t="shared" si="2"/>
        <v>34.90793281267184</v>
      </c>
      <c r="I11" s="5">
        <v>40.723955711466786</v>
      </c>
      <c r="J11" s="5">
        <f t="shared" si="3"/>
        <v>34.32241561054909</v>
      </c>
      <c r="K11" s="5">
        <v>39.722355112183</v>
      </c>
      <c r="L11" s="5">
        <f t="shared" si="4"/>
        <v>38.104487197533466</v>
      </c>
      <c r="M11" s="5">
        <v>39.739171278228454</v>
      </c>
      <c r="N11" s="6">
        <f t="shared" si="5"/>
        <v>34.35885655658733</v>
      </c>
      <c r="O11" s="5">
        <v>39.85304183693326</v>
      </c>
      <c r="P11" s="5">
        <f t="shared" si="6"/>
        <v>37.739469481859324</v>
      </c>
      <c r="Q11" s="5">
        <v>38.49194162288383</v>
      </c>
      <c r="R11" s="5">
        <f t="shared" si="7"/>
        <v>35.76053856344509</v>
      </c>
      <c r="S11" s="5">
        <v>38.62849188558085</v>
      </c>
      <c r="T11" s="5">
        <f t="shared" si="8"/>
        <v>37.433331389778765</v>
      </c>
    </row>
    <row r="12" spans="2:20" ht="12.75">
      <c r="B12" s="8">
        <v>90</v>
      </c>
      <c r="C12" s="5">
        <v>44.5073717595593</v>
      </c>
      <c r="D12" s="5">
        <f t="shared" si="0"/>
        <v>43.23464536684368</v>
      </c>
      <c r="E12" s="5">
        <v>43.723261179520414</v>
      </c>
      <c r="F12" s="5">
        <f t="shared" si="1"/>
        <v>40.606357858322305</v>
      </c>
      <c r="G12" s="5">
        <v>43.965834769928705</v>
      </c>
      <c r="H12" s="6">
        <f t="shared" si="2"/>
        <v>40.26433856747433</v>
      </c>
      <c r="I12" s="5">
        <v>42.42129226046919</v>
      </c>
      <c r="J12" s="5">
        <f t="shared" si="3"/>
        <v>39.61895772899084</v>
      </c>
      <c r="K12" s="5">
        <v>42.330780311335225</v>
      </c>
      <c r="L12" s="5">
        <f t="shared" si="4"/>
        <v>43.76703301977602</v>
      </c>
      <c r="M12" s="5">
        <v>42.63484643718483</v>
      </c>
      <c r="N12" s="6">
        <f t="shared" si="5"/>
        <v>39.65915811492889</v>
      </c>
      <c r="O12" s="5">
        <v>41.86617863397548</v>
      </c>
      <c r="P12" s="5">
        <f t="shared" si="6"/>
        <v>43.36885006733841</v>
      </c>
      <c r="Q12" s="5">
        <v>39.39958059285204</v>
      </c>
      <c r="R12" s="5">
        <f t="shared" si="7"/>
        <v>41.20203849695315</v>
      </c>
      <c r="S12" s="5">
        <v>39.45223210741389</v>
      </c>
      <c r="T12" s="5">
        <f t="shared" si="8"/>
        <v>43.03453619830954</v>
      </c>
    </row>
    <row r="13" spans="2:34" ht="14.25">
      <c r="B13" s="18" t="s">
        <v>19</v>
      </c>
      <c r="C13" s="19"/>
      <c r="D13" s="19">
        <v>0.963</v>
      </c>
      <c r="E13" s="19"/>
      <c r="F13" s="19">
        <v>0.938</v>
      </c>
      <c r="G13" s="19"/>
      <c r="H13" s="20">
        <v>0.934</v>
      </c>
      <c r="I13" s="19"/>
      <c r="J13" s="19">
        <v>0.924</v>
      </c>
      <c r="K13" s="19"/>
      <c r="L13" s="19">
        <v>0.99</v>
      </c>
      <c r="M13" s="19"/>
      <c r="N13" s="20">
        <v>0.918</v>
      </c>
      <c r="O13" s="19"/>
      <c r="P13" s="19">
        <v>0.968</v>
      </c>
      <c r="Q13" s="19"/>
      <c r="R13" s="19">
        <v>0.987</v>
      </c>
      <c r="S13" s="19"/>
      <c r="T13" s="19">
        <v>0.981</v>
      </c>
      <c r="AH13" t="s">
        <v>9</v>
      </c>
    </row>
    <row r="14" spans="2:20" ht="12.75">
      <c r="B14" s="32" t="s">
        <v>8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"/>
    </row>
    <row r="15" spans="2:20" ht="12.75">
      <c r="B15" s="23" t="s">
        <v>17</v>
      </c>
      <c r="C15" s="21" t="s">
        <v>1</v>
      </c>
      <c r="D15" s="21"/>
      <c r="E15" s="21"/>
      <c r="F15" s="21"/>
      <c r="G15" s="21"/>
      <c r="H15" s="22"/>
      <c r="I15" s="21" t="s">
        <v>2</v>
      </c>
      <c r="J15" s="21"/>
      <c r="K15" s="21"/>
      <c r="L15" s="21"/>
      <c r="M15" s="21"/>
      <c r="N15" s="22"/>
      <c r="O15" s="21" t="s">
        <v>3</v>
      </c>
      <c r="P15" s="21"/>
      <c r="Q15" s="21"/>
      <c r="R15" s="21"/>
      <c r="S15" s="21"/>
      <c r="T15" s="21"/>
    </row>
    <row r="16" spans="2:20" ht="25.5">
      <c r="B16" s="24"/>
      <c r="C16" s="12" t="s">
        <v>4</v>
      </c>
      <c r="D16" s="11" t="s">
        <v>16</v>
      </c>
      <c r="E16" s="12" t="s">
        <v>5</v>
      </c>
      <c r="F16" s="11" t="s">
        <v>16</v>
      </c>
      <c r="G16" s="12" t="s">
        <v>6</v>
      </c>
      <c r="H16" s="14" t="s">
        <v>16</v>
      </c>
      <c r="I16" s="12" t="s">
        <v>4</v>
      </c>
      <c r="J16" s="11" t="s">
        <v>16</v>
      </c>
      <c r="K16" s="12" t="s">
        <v>5</v>
      </c>
      <c r="L16" s="11" t="s">
        <v>16</v>
      </c>
      <c r="M16" s="12" t="s">
        <v>6</v>
      </c>
      <c r="N16" s="14" t="s">
        <v>16</v>
      </c>
      <c r="O16" s="12" t="s">
        <v>4</v>
      </c>
      <c r="P16" s="11" t="s">
        <v>16</v>
      </c>
      <c r="Q16" s="12" t="s">
        <v>5</v>
      </c>
      <c r="R16" s="11" t="s">
        <v>16</v>
      </c>
      <c r="S16" s="12" t="s">
        <v>6</v>
      </c>
      <c r="T16" s="11" t="s">
        <v>16</v>
      </c>
    </row>
    <row r="17" spans="2:20" ht="12.75">
      <c r="B17" s="8">
        <v>0</v>
      </c>
      <c r="C17" s="5">
        <v>0</v>
      </c>
      <c r="D17" s="5">
        <f aca="true" t="shared" si="9" ref="D17:D23">+(1-EXP($B17*(-0.012)))*100</f>
        <v>0</v>
      </c>
      <c r="E17" s="5">
        <v>0</v>
      </c>
      <c r="F17" s="5">
        <f aca="true" t="shared" si="10" ref="F17:F23">+(1-EXP($B17*(-0.013)))*100</f>
        <v>0</v>
      </c>
      <c r="G17" s="5">
        <v>0</v>
      </c>
      <c r="H17" s="6">
        <f aca="true" t="shared" si="11" ref="H17:H23">+(1-EXP($B17*(-0.012)))*100</f>
        <v>0</v>
      </c>
      <c r="I17" s="5">
        <v>0</v>
      </c>
      <c r="J17" s="5">
        <f aca="true" t="shared" si="12" ref="J17:J23">+(1-EXP($B17*(-0.012)))*100</f>
        <v>0</v>
      </c>
      <c r="K17" s="5">
        <v>0</v>
      </c>
      <c r="L17" s="5">
        <f aca="true" t="shared" si="13" ref="L17:L23">+(1-EXP($B17*(-0.012)))*100</f>
        <v>0</v>
      </c>
      <c r="M17" s="5">
        <v>0</v>
      </c>
      <c r="N17" s="6">
        <f aca="true" t="shared" si="14" ref="N17:N23">+(1-EXP($B17*(-0.011)))*100</f>
        <v>0</v>
      </c>
      <c r="O17" s="5">
        <v>0</v>
      </c>
      <c r="P17" s="5">
        <f aca="true" t="shared" si="15" ref="P17:P23">+(1-EXP($B17*(-0.012)))*100</f>
        <v>0</v>
      </c>
      <c r="Q17" s="5">
        <v>0</v>
      </c>
      <c r="R17" s="5">
        <f aca="true" t="shared" si="16" ref="R17:R23">+(1-EXP($B17*(-0.012)))*100</f>
        <v>0</v>
      </c>
      <c r="S17" s="5">
        <v>0</v>
      </c>
      <c r="T17" s="5">
        <f aca="true" t="shared" si="17" ref="T17:T23">+(1-EXP($B17*(-0.013)))*100</f>
        <v>0</v>
      </c>
    </row>
    <row r="18" spans="2:20" ht="12.75">
      <c r="B18" s="8">
        <v>15</v>
      </c>
      <c r="C18" s="5">
        <v>11.693801036941025</v>
      </c>
      <c r="D18" s="5">
        <f t="shared" si="9"/>
        <v>16.4729788588728</v>
      </c>
      <c r="E18" s="5">
        <v>9.424004914668387</v>
      </c>
      <c r="F18" s="5">
        <f t="shared" si="10"/>
        <v>17.716534194398157</v>
      </c>
      <c r="G18" s="5">
        <v>6.282962410887888</v>
      </c>
      <c r="H18" s="6">
        <f t="shared" si="11"/>
        <v>16.4729788588728</v>
      </c>
      <c r="I18" s="5">
        <v>9.545095373821525</v>
      </c>
      <c r="J18" s="5">
        <f t="shared" si="12"/>
        <v>16.4729788588728</v>
      </c>
      <c r="K18" s="5">
        <v>10.464255645691727</v>
      </c>
      <c r="L18" s="5">
        <f t="shared" si="13"/>
        <v>16.4729788588728</v>
      </c>
      <c r="M18" s="5">
        <v>5.328991010743266</v>
      </c>
      <c r="N18" s="6">
        <f t="shared" si="14"/>
        <v>15.210629591208413</v>
      </c>
      <c r="O18" s="5">
        <v>9.873854835571123</v>
      </c>
      <c r="P18" s="5">
        <f t="shared" si="15"/>
        <v>16.4729788588728</v>
      </c>
      <c r="Q18" s="5">
        <v>9.868114419147693</v>
      </c>
      <c r="R18" s="5">
        <f t="shared" si="16"/>
        <v>16.4729788588728</v>
      </c>
      <c r="S18" s="5">
        <v>10.26881144191476</v>
      </c>
      <c r="T18" s="5">
        <f t="shared" si="17"/>
        <v>17.716534194398157</v>
      </c>
    </row>
    <row r="19" spans="2:20" ht="12.75">
      <c r="B19" s="8">
        <v>30</v>
      </c>
      <c r="C19" s="5">
        <v>19.600313512637726</v>
      </c>
      <c r="D19" s="5">
        <f t="shared" si="9"/>
        <v>30.232367392896897</v>
      </c>
      <c r="E19" s="5">
        <v>20.494673525599485</v>
      </c>
      <c r="F19" s="5">
        <f t="shared" si="10"/>
        <v>32.29431255018353</v>
      </c>
      <c r="G19" s="5">
        <v>16.956536616979918</v>
      </c>
      <c r="H19" s="6">
        <f t="shared" si="11"/>
        <v>30.232367392896897</v>
      </c>
      <c r="I19" s="5">
        <v>17.662328436746336</v>
      </c>
      <c r="J19" s="5">
        <f t="shared" si="12"/>
        <v>30.232367392896897</v>
      </c>
      <c r="K19" s="5">
        <v>21.385473945772127</v>
      </c>
      <c r="L19" s="5">
        <f t="shared" si="13"/>
        <v>30.232367392896897</v>
      </c>
      <c r="M19" s="5">
        <v>12.832438938829204</v>
      </c>
      <c r="N19" s="6">
        <f t="shared" si="14"/>
        <v>28.107626656807383</v>
      </c>
      <c r="O19" s="5">
        <v>20.40736719206072</v>
      </c>
      <c r="P19" s="5">
        <f t="shared" si="15"/>
        <v>30.232367392896897</v>
      </c>
      <c r="Q19" s="5">
        <v>22.251139002399952</v>
      </c>
      <c r="R19" s="5">
        <f t="shared" si="16"/>
        <v>30.232367392896897</v>
      </c>
      <c r="S19" s="5">
        <v>25.99477485892197</v>
      </c>
      <c r="T19" s="5">
        <f t="shared" si="17"/>
        <v>32.29431255018353</v>
      </c>
    </row>
    <row r="20" spans="2:20" ht="12.75">
      <c r="B20" s="8">
        <v>45</v>
      </c>
      <c r="C20" s="5">
        <v>33.60935434219054</v>
      </c>
      <c r="D20" s="5">
        <f t="shared" si="9"/>
        <v>41.725174762601036</v>
      </c>
      <c r="E20" s="5">
        <v>38.825550064808816</v>
      </c>
      <c r="F20" s="5">
        <f t="shared" si="10"/>
        <v>44.289413818782606</v>
      </c>
      <c r="G20" s="5">
        <v>33.15730314322748</v>
      </c>
      <c r="H20" s="6">
        <f t="shared" si="11"/>
        <v>41.725174762601036</v>
      </c>
      <c r="I20" s="5">
        <v>28.841354966016226</v>
      </c>
      <c r="J20" s="5">
        <f t="shared" si="12"/>
        <v>41.725174762601036</v>
      </c>
      <c r="K20" s="5">
        <v>39.146761675071254</v>
      </c>
      <c r="L20" s="5">
        <f t="shared" si="13"/>
        <v>41.725174762601036</v>
      </c>
      <c r="M20" s="5">
        <v>26.65402543301908</v>
      </c>
      <c r="N20" s="6">
        <f t="shared" si="14"/>
        <v>39.04290927036907</v>
      </c>
      <c r="O20" s="5">
        <v>35.26861451644288</v>
      </c>
      <c r="P20" s="5">
        <f t="shared" si="15"/>
        <v>41.725174762601036</v>
      </c>
      <c r="Q20" s="5">
        <v>35.41880651229163</v>
      </c>
      <c r="R20" s="5">
        <f t="shared" si="16"/>
        <v>41.725174762601036</v>
      </c>
      <c r="S20" s="5">
        <v>37.779101381591744</v>
      </c>
      <c r="T20" s="5">
        <f t="shared" si="17"/>
        <v>44.289413818782606</v>
      </c>
    </row>
    <row r="21" spans="2:20" ht="12.75">
      <c r="B21" s="8">
        <v>60</v>
      </c>
      <c r="C21" s="5">
        <v>49.08946613739468</v>
      </c>
      <c r="D21" s="5">
        <f t="shared" si="9"/>
        <v>51.324774404002824</v>
      </c>
      <c r="E21" s="5">
        <v>52.87287940159862</v>
      </c>
      <c r="F21" s="5">
        <f t="shared" si="10"/>
        <v>54.15939886947765</v>
      </c>
      <c r="G21" s="5">
        <v>47.316225858716784</v>
      </c>
      <c r="H21" s="6">
        <f t="shared" si="11"/>
        <v>51.324774404002824</v>
      </c>
      <c r="I21" s="5">
        <v>43.772661696996266</v>
      </c>
      <c r="J21" s="5">
        <f t="shared" si="12"/>
        <v>51.324774404002824</v>
      </c>
      <c r="K21" s="5">
        <v>47.96568296426223</v>
      </c>
      <c r="L21" s="5">
        <f t="shared" si="13"/>
        <v>51.324774404002824</v>
      </c>
      <c r="M21" s="5">
        <v>44.90425038368778</v>
      </c>
      <c r="N21" s="6">
        <f t="shared" si="14"/>
        <v>48.31486655083007</v>
      </c>
      <c r="O21" s="5">
        <v>48.299295582798216</v>
      </c>
      <c r="P21" s="5">
        <f t="shared" si="15"/>
        <v>51.324774404002824</v>
      </c>
      <c r="Q21" s="5">
        <v>48.38928779918272</v>
      </c>
      <c r="R21" s="5">
        <f t="shared" si="16"/>
        <v>51.324774404002824</v>
      </c>
      <c r="S21" s="5">
        <v>51.099503016151</v>
      </c>
      <c r="T21" s="5">
        <f t="shared" si="17"/>
        <v>54.15939886947765</v>
      </c>
    </row>
    <row r="22" spans="2:20" ht="12.75">
      <c r="B22" s="8">
        <v>75</v>
      </c>
      <c r="C22" s="5">
        <v>66.36776004536617</v>
      </c>
      <c r="D22" s="5">
        <f t="shared" si="9"/>
        <v>59.34303402594009</v>
      </c>
      <c r="E22" s="5">
        <v>64.47868708144307</v>
      </c>
      <c r="F22" s="5">
        <f t="shared" si="10"/>
        <v>62.28076464368431</v>
      </c>
      <c r="G22" s="5">
        <v>65.09651830848996</v>
      </c>
      <c r="H22" s="6">
        <f t="shared" si="11"/>
        <v>59.34303402594009</v>
      </c>
      <c r="I22" s="5">
        <v>59.54237009427757</v>
      </c>
      <c r="J22" s="5">
        <f t="shared" si="12"/>
        <v>59.34303402594009</v>
      </c>
      <c r="K22" s="5">
        <v>62.57300811225609</v>
      </c>
      <c r="L22" s="5">
        <f t="shared" si="13"/>
        <v>59.34303402594009</v>
      </c>
      <c r="M22" s="5">
        <v>60.87012234159176</v>
      </c>
      <c r="N22" s="6">
        <f t="shared" si="14"/>
        <v>56.176500753505074</v>
      </c>
      <c r="O22" s="5">
        <v>62.7233780891224</v>
      </c>
      <c r="P22" s="5">
        <f t="shared" si="15"/>
        <v>59.34303402594009</v>
      </c>
      <c r="Q22" s="5">
        <v>63.908244794707144</v>
      </c>
      <c r="R22" s="5">
        <f t="shared" si="16"/>
        <v>59.34303402594009</v>
      </c>
      <c r="S22" s="5">
        <v>60.97865109943568</v>
      </c>
      <c r="T22" s="5">
        <f t="shared" si="17"/>
        <v>62.28076464368431</v>
      </c>
    </row>
    <row r="23" spans="2:20" ht="12.75">
      <c r="B23" s="8">
        <v>90</v>
      </c>
      <c r="C23" s="5">
        <v>72.0409486390149</v>
      </c>
      <c r="D23" s="5">
        <f t="shared" si="9"/>
        <v>66.0404474355061</v>
      </c>
      <c r="E23" s="5">
        <v>72.4144372434651</v>
      </c>
      <c r="F23" s="5">
        <f t="shared" si="10"/>
        <v>68.9633058734515</v>
      </c>
      <c r="G23" s="5">
        <v>71.57933311730396</v>
      </c>
      <c r="H23" s="6">
        <f t="shared" si="11"/>
        <v>66.0404474355061</v>
      </c>
      <c r="I23" s="5">
        <v>73.80723087042315</v>
      </c>
      <c r="J23" s="5">
        <f t="shared" si="12"/>
        <v>66.0404474355061</v>
      </c>
      <c r="K23" s="5">
        <v>71.31080830227289</v>
      </c>
      <c r="L23" s="5">
        <f t="shared" si="13"/>
        <v>66.0404474355061</v>
      </c>
      <c r="M23" s="5">
        <v>70.37388949791713</v>
      </c>
      <c r="N23" s="6">
        <f t="shared" si="14"/>
        <v>62.84233089779543</v>
      </c>
      <c r="O23" s="5">
        <v>71.50057209573848</v>
      </c>
      <c r="P23" s="5">
        <f t="shared" si="15"/>
        <v>66.0404474355061</v>
      </c>
      <c r="Q23" s="5">
        <v>71.16414672115197</v>
      </c>
      <c r="R23" s="5">
        <f t="shared" si="16"/>
        <v>66.0404474355061</v>
      </c>
      <c r="S23" s="5">
        <v>70.56865343452034</v>
      </c>
      <c r="T23" s="5">
        <f t="shared" si="17"/>
        <v>68.9633058734515</v>
      </c>
    </row>
    <row r="24" spans="2:20" ht="14.25">
      <c r="B24" s="18" t="s">
        <v>19</v>
      </c>
      <c r="C24" s="19"/>
      <c r="D24" s="19">
        <v>0.937</v>
      </c>
      <c r="E24" s="19"/>
      <c r="F24" s="19">
        <v>0.952</v>
      </c>
      <c r="G24" s="19"/>
      <c r="H24" s="20">
        <v>0.917</v>
      </c>
      <c r="I24" s="19"/>
      <c r="J24" s="19">
        <v>0.911</v>
      </c>
      <c r="K24" s="19"/>
      <c r="L24" s="19">
        <v>0.961</v>
      </c>
      <c r="M24" s="19"/>
      <c r="N24" s="20">
        <v>0.886</v>
      </c>
      <c r="O24" s="19"/>
      <c r="P24" s="19">
        <v>0.951</v>
      </c>
      <c r="Q24" s="19"/>
      <c r="R24" s="19">
        <v>0.955</v>
      </c>
      <c r="S24" s="19"/>
      <c r="T24" s="19">
        <v>0.977</v>
      </c>
    </row>
    <row r="27" spans="3:4" ht="12.75">
      <c r="C27" s="1"/>
      <c r="D27" s="1"/>
    </row>
    <row r="28" spans="2:20" ht="12.75"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2:20" ht="12.75"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2:20" ht="12.75">
      <c r="B30" s="7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2:27" ht="15">
      <c r="B31" s="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AA31" s="2"/>
    </row>
    <row r="32" spans="2:32" ht="53.25" customHeight="1">
      <c r="B32" s="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V32" s="28" t="s">
        <v>18</v>
      </c>
      <c r="W32" s="29"/>
      <c r="X32" s="29"/>
      <c r="Y32" s="29"/>
      <c r="Z32" s="29"/>
      <c r="AA32" s="29"/>
      <c r="AB32" s="29"/>
      <c r="AC32" s="29"/>
      <c r="AD32" s="29"/>
      <c r="AE32" s="29"/>
      <c r="AF32" s="29"/>
    </row>
    <row r="33" spans="2:20" ht="12.75">
      <c r="B33" s="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2:20" ht="12.75">
      <c r="B34" s="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2:20" ht="12.7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2:20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2:20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2:20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2:20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2:20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2:20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2:20" ht="12.7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2:20" ht="12.7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2:34" ht="12.7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AH44" t="s">
        <v>10</v>
      </c>
    </row>
    <row r="45" spans="2:20" ht="12.7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2:20" ht="12.7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2:20" ht="12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2:20" ht="12.7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2:20" ht="12.7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2:20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2:20" ht="12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9" ht="15">
      <c r="AA59" s="2" t="s">
        <v>14</v>
      </c>
    </row>
    <row r="72" ht="12.75">
      <c r="AH72" t="s">
        <v>11</v>
      </c>
    </row>
    <row r="87" ht="15">
      <c r="AA87" s="2" t="s">
        <v>15</v>
      </c>
    </row>
  </sheetData>
  <sheetProtection/>
  <mergeCells count="12">
    <mergeCell ref="V32:AF32"/>
    <mergeCell ref="B2:T2"/>
    <mergeCell ref="B3:T3"/>
    <mergeCell ref="B14:S14"/>
    <mergeCell ref="C15:H15"/>
    <mergeCell ref="B15:B16"/>
    <mergeCell ref="I15:N15"/>
    <mergeCell ref="O15:T15"/>
    <mergeCell ref="B4:B5"/>
    <mergeCell ref="C4:H4"/>
    <mergeCell ref="I4:N4"/>
    <mergeCell ref="O4:T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6"/>
  <sheetViews>
    <sheetView zoomScalePageLayoutView="0" workbookViewId="0" topLeftCell="A1">
      <selection activeCell="B24" sqref="B24:T24"/>
    </sheetView>
  </sheetViews>
  <sheetFormatPr defaultColWidth="9.140625" defaultRowHeight="12.75"/>
  <sheetData>
    <row r="1" spans="1:27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ht="15.75">
      <c r="A2" s="15"/>
      <c r="B2" s="30" t="s">
        <v>12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15"/>
      <c r="V2" s="15"/>
      <c r="W2" s="15"/>
      <c r="X2" s="15"/>
      <c r="Y2" s="15"/>
      <c r="Z2" s="15"/>
      <c r="AA2" s="15"/>
    </row>
    <row r="3" spans="1:27" ht="12.75">
      <c r="A3" s="15"/>
      <c r="B3" s="31" t="s">
        <v>7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15"/>
      <c r="V3" s="15"/>
      <c r="W3" s="15"/>
      <c r="X3" s="15"/>
      <c r="Y3" s="15"/>
      <c r="Z3" s="15"/>
      <c r="AA3" s="15"/>
    </row>
    <row r="4" spans="1:27" ht="12.75">
      <c r="A4" s="15"/>
      <c r="B4" s="23" t="s">
        <v>17</v>
      </c>
      <c r="C4" s="25" t="s">
        <v>1</v>
      </c>
      <c r="D4" s="26"/>
      <c r="E4" s="26"/>
      <c r="F4" s="26"/>
      <c r="G4" s="26"/>
      <c r="H4" s="27"/>
      <c r="I4" s="26" t="s">
        <v>2</v>
      </c>
      <c r="J4" s="26"/>
      <c r="K4" s="26"/>
      <c r="L4" s="26"/>
      <c r="M4" s="26"/>
      <c r="N4" s="27"/>
      <c r="O4" s="25" t="s">
        <v>3</v>
      </c>
      <c r="P4" s="26"/>
      <c r="Q4" s="26"/>
      <c r="R4" s="26"/>
      <c r="S4" s="26"/>
      <c r="T4" s="26"/>
      <c r="U4" s="15"/>
      <c r="V4" s="15"/>
      <c r="W4" s="15"/>
      <c r="X4" s="15"/>
      <c r="Y4" s="15"/>
      <c r="Z4" s="15"/>
      <c r="AA4" s="15"/>
    </row>
    <row r="5" spans="1:27" ht="25.5">
      <c r="A5" s="15"/>
      <c r="B5" s="24"/>
      <c r="C5" s="9" t="s">
        <v>4</v>
      </c>
      <c r="D5" s="10" t="s">
        <v>16</v>
      </c>
      <c r="E5" s="9" t="s">
        <v>5</v>
      </c>
      <c r="F5" s="10" t="s">
        <v>16</v>
      </c>
      <c r="G5" s="9" t="s">
        <v>6</v>
      </c>
      <c r="H5" s="13" t="s">
        <v>16</v>
      </c>
      <c r="I5" s="9" t="s">
        <v>4</v>
      </c>
      <c r="J5" s="10" t="s">
        <v>16</v>
      </c>
      <c r="K5" s="9" t="s">
        <v>5</v>
      </c>
      <c r="L5" s="10" t="s">
        <v>16</v>
      </c>
      <c r="M5" s="9" t="s">
        <v>6</v>
      </c>
      <c r="N5" s="13" t="s">
        <v>16</v>
      </c>
      <c r="O5" s="9" t="s">
        <v>4</v>
      </c>
      <c r="P5" s="10" t="s">
        <v>16</v>
      </c>
      <c r="Q5" s="9" t="s">
        <v>5</v>
      </c>
      <c r="R5" s="10" t="s">
        <v>16</v>
      </c>
      <c r="S5" s="9" t="s">
        <v>6</v>
      </c>
      <c r="T5" s="10" t="s">
        <v>16</v>
      </c>
      <c r="U5" s="15"/>
      <c r="V5" s="15"/>
      <c r="W5" s="15"/>
      <c r="X5" s="15"/>
      <c r="Y5" s="15"/>
      <c r="Z5" s="15"/>
      <c r="AA5" s="15"/>
    </row>
    <row r="6" spans="2:27" ht="12.75" customHeight="1">
      <c r="B6" s="8">
        <v>0</v>
      </c>
      <c r="C6" s="5">
        <v>0</v>
      </c>
      <c r="D6" s="5">
        <f>+(1-EXP($B6*(-0.0055113)))*100</f>
        <v>0</v>
      </c>
      <c r="E6" s="5">
        <v>0</v>
      </c>
      <c r="F6" s="5">
        <f>+(1-EXP($B6*(-0.0057893)))*100</f>
        <v>0</v>
      </c>
      <c r="G6" s="5">
        <v>0</v>
      </c>
      <c r="H6" s="6">
        <f>+(1-EXP($B6*(-0.0060284)))*100</f>
        <v>0</v>
      </c>
      <c r="I6" s="5">
        <v>0</v>
      </c>
      <c r="J6" s="5">
        <f>+(1-EXP($B6*(-0.005777)))*100</f>
        <v>0</v>
      </c>
      <c r="K6" s="5">
        <v>0</v>
      </c>
      <c r="L6" s="5">
        <f>+(1-EXP($B6*(-0.006291)))*100</f>
        <v>0</v>
      </c>
      <c r="M6" s="5">
        <v>0</v>
      </c>
      <c r="N6" s="6">
        <f>+(1-EXP($B6*(-0.005361)))*100</f>
        <v>0</v>
      </c>
      <c r="O6" s="5">
        <v>0</v>
      </c>
      <c r="P6" s="5">
        <f>+(1-EXP($B6*(-0.0055348)))*100</f>
        <v>0</v>
      </c>
      <c r="Q6" s="5">
        <v>0</v>
      </c>
      <c r="R6" s="5">
        <f>+(1-EXP($B6*(-0.0055235)))*100</f>
        <v>0</v>
      </c>
      <c r="S6" s="5">
        <v>0</v>
      </c>
      <c r="T6" s="5">
        <f>+(1-EXP($B6*(-0.006019)))*100</f>
        <v>0</v>
      </c>
      <c r="U6" s="15"/>
      <c r="V6" s="15"/>
      <c r="W6" s="15"/>
      <c r="X6" s="15"/>
      <c r="Y6" s="15"/>
      <c r="Z6" s="15"/>
      <c r="AA6" s="15"/>
    </row>
    <row r="7" spans="2:27" ht="12.75">
      <c r="B7" s="8">
        <v>15</v>
      </c>
      <c r="C7" s="5">
        <v>3.9019601425793873</v>
      </c>
      <c r="D7" s="5">
        <f aca="true" t="shared" si="0" ref="D7:D12">+(1-EXP($B7*(-0.0055113)))*100</f>
        <v>7.934462645508811</v>
      </c>
      <c r="E7" s="5">
        <v>1.7330098023331173</v>
      </c>
      <c r="F7" s="5">
        <f aca="true" t="shared" si="1" ref="F7:F12">+(1-EXP($B7*(-0.0057893)))*100</f>
        <v>8.317576588545128</v>
      </c>
      <c r="G7" s="5">
        <v>4.228773720025917</v>
      </c>
      <c r="H7" s="6">
        <f aca="true" t="shared" si="2" ref="H7:H12">+(1-EXP($B7*(-0.0060284)))*100</f>
        <v>8.645806649718402</v>
      </c>
      <c r="I7" s="5">
        <v>8.437398816049113</v>
      </c>
      <c r="J7" s="5">
        <f aca="true" t="shared" si="3" ref="J7:J12">+(1-EXP($B7*(-0.005777)))*100</f>
        <v>8.300659620883444</v>
      </c>
      <c r="K7" s="5">
        <v>8.348162756705396</v>
      </c>
      <c r="L7" s="5">
        <f aca="true" t="shared" si="4" ref="L7:L12">+(1-EXP($B7*(-0.006291)))*100</f>
        <v>9.004943033861712</v>
      </c>
      <c r="M7" s="5">
        <v>3.5286547248410374</v>
      </c>
      <c r="N7" s="6">
        <f aca="true" t="shared" si="5" ref="N7:N12">+(1-EXP($B7*(-0.005361)))*100</f>
        <v>7.726666741625355</v>
      </c>
      <c r="O7" s="5">
        <v>5.549541155866901</v>
      </c>
      <c r="P7" s="5">
        <f aca="true" t="shared" si="6" ref="P7:P12">+(1-EXP($B7*(-0.0055348)))*100</f>
        <v>7.966910028239083</v>
      </c>
      <c r="Q7" s="5">
        <v>6.563131348511387</v>
      </c>
      <c r="R7" s="5">
        <f aca="true" t="shared" si="7" ref="R7:R12">+(1-EXP($B7*(-0.0055235)))*100</f>
        <v>7.951309097347325</v>
      </c>
      <c r="S7" s="5">
        <v>7.414021871959524</v>
      </c>
      <c r="T7" s="5">
        <f aca="true" t="shared" si="8" ref="T7:T12">+(1-EXP($B7*(-0.006019)))*100</f>
        <v>8.632924800306974</v>
      </c>
      <c r="U7" s="15"/>
      <c r="V7" s="15"/>
      <c r="W7" s="15"/>
      <c r="X7" s="15"/>
      <c r="Y7" s="15"/>
      <c r="Z7" s="15"/>
      <c r="AA7" s="15"/>
    </row>
    <row r="8" spans="2:27" ht="12.75">
      <c r="B8" s="8">
        <v>30</v>
      </c>
      <c r="C8" s="5">
        <v>8.180726587815947</v>
      </c>
      <c r="D8" s="5">
        <f t="shared" si="0"/>
        <v>15.239368316287871</v>
      </c>
      <c r="E8" s="5">
        <v>12.53221859472888</v>
      </c>
      <c r="F8" s="5">
        <f t="shared" si="1"/>
        <v>15.943332374027118</v>
      </c>
      <c r="G8" s="5">
        <v>10.811517806221644</v>
      </c>
      <c r="H8" s="6">
        <f t="shared" si="2"/>
        <v>16.544113573193652</v>
      </c>
      <c r="I8" s="5">
        <v>14.481643279982455</v>
      </c>
      <c r="J8" s="5">
        <f t="shared" si="3"/>
        <v>15.91230974034923</v>
      </c>
      <c r="K8" s="5">
        <v>16.250332967916396</v>
      </c>
      <c r="L8" s="5">
        <f t="shared" si="4"/>
        <v>17.198996077292485</v>
      </c>
      <c r="M8" s="5">
        <v>8.126372593729451</v>
      </c>
      <c r="N8" s="6">
        <f t="shared" si="5"/>
        <v>14.856319693889308</v>
      </c>
      <c r="O8" s="5">
        <v>16.533817474216775</v>
      </c>
      <c r="P8" s="5">
        <f t="shared" si="6"/>
        <v>15.29910350249759</v>
      </c>
      <c r="Q8" s="5">
        <v>13.431743659596549</v>
      </c>
      <c r="R8" s="5">
        <f t="shared" si="7"/>
        <v>15.27038503107907</v>
      </c>
      <c r="S8" s="5">
        <v>19.39446098462736</v>
      </c>
      <c r="T8" s="5">
        <f t="shared" si="8"/>
        <v>16.520575694536387</v>
      </c>
      <c r="U8" s="15"/>
      <c r="V8" s="15"/>
      <c r="W8" s="15"/>
      <c r="X8" s="15"/>
      <c r="Y8" s="15"/>
      <c r="Z8" s="15"/>
      <c r="AA8" s="15"/>
    </row>
    <row r="9" spans="2:27" ht="12.75">
      <c r="B9" s="8">
        <v>45</v>
      </c>
      <c r="C9" s="5">
        <v>21.075641850291635</v>
      </c>
      <c r="D9" s="5">
        <f t="shared" si="0"/>
        <v>21.964668975329317</v>
      </c>
      <c r="E9" s="5">
        <v>18.109181464679196</v>
      </c>
      <c r="F9" s="5">
        <f t="shared" si="1"/>
        <v>22.934810081596236</v>
      </c>
      <c r="G9" s="5">
        <v>18.48317790019443</v>
      </c>
      <c r="H9" s="6">
        <f t="shared" si="2"/>
        <v>23.759548151463918</v>
      </c>
      <c r="I9" s="5">
        <v>21.57574347730761</v>
      </c>
      <c r="J9" s="5">
        <f t="shared" si="3"/>
        <v>22.8921426918656</v>
      </c>
      <c r="K9" s="5">
        <v>25.719953738215303</v>
      </c>
      <c r="L9" s="5">
        <f t="shared" si="4"/>
        <v>24.655179311997898</v>
      </c>
      <c r="M9" s="5">
        <v>16.389340802455603</v>
      </c>
      <c r="N9" s="6">
        <f t="shared" si="5"/>
        <v>21.435088122697387</v>
      </c>
      <c r="O9" s="5">
        <v>21.955638256470127</v>
      </c>
      <c r="P9" s="5">
        <f t="shared" si="6"/>
        <v>22.04714771956552</v>
      </c>
      <c r="Q9" s="5">
        <v>20.99981429590711</v>
      </c>
      <c r="R9" s="5">
        <f t="shared" si="7"/>
        <v>22.00749861425023</v>
      </c>
      <c r="S9" s="5">
        <v>24.991323720568204</v>
      </c>
      <c r="T9" s="5">
        <f t="shared" si="8"/>
        <v>23.727291618556244</v>
      </c>
      <c r="U9" s="15"/>
      <c r="V9" s="15"/>
      <c r="W9" s="15"/>
      <c r="X9" s="15"/>
      <c r="Y9" s="15"/>
      <c r="Z9" s="15"/>
      <c r="AA9" s="15"/>
    </row>
    <row r="10" spans="2:27" ht="12.75">
      <c r="B10" s="8">
        <v>60</v>
      </c>
      <c r="C10" s="5">
        <v>29.25894750486066</v>
      </c>
      <c r="D10" s="5">
        <f t="shared" si="0"/>
        <v>28.156353165780956</v>
      </c>
      <c r="E10" s="5">
        <v>30.069153839922226</v>
      </c>
      <c r="F10" s="5">
        <f t="shared" si="1"/>
        <v>29.344766276167235</v>
      </c>
      <c r="G10" s="5">
        <v>35.3547463220998</v>
      </c>
      <c r="H10" s="6">
        <f t="shared" si="2"/>
        <v>30.351150207160003</v>
      </c>
      <c r="I10" s="5">
        <v>29.392963165972375</v>
      </c>
      <c r="J10" s="5">
        <f t="shared" si="3"/>
        <v>29.292603467970334</v>
      </c>
      <c r="K10" s="5">
        <v>33.16844690491851</v>
      </c>
      <c r="L10" s="5">
        <f t="shared" si="4"/>
        <v>31.439937493917746</v>
      </c>
      <c r="M10" s="5">
        <v>28.643857268142945</v>
      </c>
      <c r="N10" s="6">
        <f t="shared" si="5"/>
        <v>27.50553703930819</v>
      </c>
      <c r="O10" s="5">
        <v>30.24858416034247</v>
      </c>
      <c r="P10" s="5">
        <f t="shared" si="6"/>
        <v>28.257581325193847</v>
      </c>
      <c r="Q10" s="5">
        <v>30.406720049296233</v>
      </c>
      <c r="R10" s="5">
        <f t="shared" si="7"/>
        <v>28.20892347218409</v>
      </c>
      <c r="S10" s="5">
        <v>33.13384113640785</v>
      </c>
      <c r="T10" s="5">
        <f t="shared" si="8"/>
        <v>30.31185717628372</v>
      </c>
      <c r="U10" s="15"/>
      <c r="V10" s="15"/>
      <c r="W10" s="15"/>
      <c r="X10" s="15"/>
      <c r="Y10" s="15"/>
      <c r="Z10" s="15"/>
      <c r="AA10" s="15"/>
    </row>
    <row r="11" spans="2:27" ht="12.75">
      <c r="B11" s="8">
        <v>75</v>
      </c>
      <c r="C11" s="5">
        <v>36.06387297472456</v>
      </c>
      <c r="D11" s="5">
        <f t="shared" si="0"/>
        <v>33.85676048701335</v>
      </c>
      <c r="E11" s="5">
        <v>40.86082050658889</v>
      </c>
      <c r="F11" s="5">
        <f t="shared" si="1"/>
        <v>35.221569454962584</v>
      </c>
      <c r="G11" s="5">
        <v>39.38318655217109</v>
      </c>
      <c r="H11" s="6">
        <f t="shared" si="2"/>
        <v>36.37285509400174</v>
      </c>
      <c r="I11" s="5">
        <v>38.19146283709713</v>
      </c>
      <c r="J11" s="5">
        <f t="shared" si="3"/>
        <v>35.16178378088246</v>
      </c>
      <c r="K11" s="5">
        <v>39.021485419864064</v>
      </c>
      <c r="L11" s="5">
        <f t="shared" si="4"/>
        <v>37.61373206657045</v>
      </c>
      <c r="M11" s="5">
        <v>37.91588691076518</v>
      </c>
      <c r="N11" s="6">
        <f t="shared" si="5"/>
        <v>33.10694259841187</v>
      </c>
      <c r="O11" s="5">
        <v>34.404510994356876</v>
      </c>
      <c r="P11" s="5">
        <f t="shared" si="6"/>
        <v>33.97323527309825</v>
      </c>
      <c r="Q11" s="5">
        <v>35.80399974054614</v>
      </c>
      <c r="R11" s="5">
        <f t="shared" si="7"/>
        <v>33.9172538712239</v>
      </c>
      <c r="S11" s="5">
        <v>36.184825802685346</v>
      </c>
      <c r="T11" s="5">
        <f t="shared" si="8"/>
        <v>36.32798214098567</v>
      </c>
      <c r="U11" s="15"/>
      <c r="V11" s="15"/>
      <c r="W11" s="15"/>
      <c r="X11" s="15"/>
      <c r="Y11" s="15"/>
      <c r="Z11" s="15"/>
      <c r="AA11" s="15"/>
    </row>
    <row r="12" spans="2:27" ht="12.75">
      <c r="B12" s="8">
        <v>90</v>
      </c>
      <c r="C12" s="5">
        <v>41.104909024627354</v>
      </c>
      <c r="D12" s="5">
        <f t="shared" si="0"/>
        <v>39.10487111870069</v>
      </c>
      <c r="E12" s="5">
        <v>41.343427522143</v>
      </c>
      <c r="F12" s="5">
        <f t="shared" si="1"/>
        <v>40.60956502840358</v>
      </c>
      <c r="G12" s="5">
        <v>42.491434251458195</v>
      </c>
      <c r="H12" s="6">
        <f t="shared" si="2"/>
        <v>41.8739350193105</v>
      </c>
      <c r="I12" s="5">
        <v>39.205988598991446</v>
      </c>
      <c r="J12" s="5">
        <f t="shared" si="3"/>
        <v>40.543783413483844</v>
      </c>
      <c r="K12" s="5">
        <v>40.4890789300592</v>
      </c>
      <c r="L12" s="5">
        <f t="shared" si="4"/>
        <v>43.231579954928115</v>
      </c>
      <c r="M12" s="5">
        <v>40.39275917561938</v>
      </c>
      <c r="N12" s="6">
        <f t="shared" si="5"/>
        <v>38.27554621711674</v>
      </c>
      <c r="O12" s="5">
        <v>37.37114068884996</v>
      </c>
      <c r="P12" s="5">
        <f t="shared" si="6"/>
        <v>39.2335282134476</v>
      </c>
      <c r="Q12" s="5">
        <v>37.58340364532659</v>
      </c>
      <c r="R12" s="5">
        <f t="shared" si="7"/>
        <v>39.171697275938214</v>
      </c>
      <c r="S12" s="5">
        <v>37.81767285464098</v>
      </c>
      <c r="T12" s="5">
        <f t="shared" si="8"/>
        <v>41.824739561592395</v>
      </c>
      <c r="U12" s="15"/>
      <c r="V12" s="15"/>
      <c r="W12" s="15"/>
      <c r="X12" s="15"/>
      <c r="Y12" s="15"/>
      <c r="Z12" s="15"/>
      <c r="AA12" s="15"/>
    </row>
    <row r="13" spans="2:27" ht="14.25">
      <c r="B13" s="18" t="s">
        <v>19</v>
      </c>
      <c r="C13" s="19"/>
      <c r="D13" s="19">
        <v>0.951</v>
      </c>
      <c r="E13" s="19"/>
      <c r="F13" s="19">
        <v>0.938</v>
      </c>
      <c r="G13" s="19"/>
      <c r="H13" s="20">
        <v>0.937</v>
      </c>
      <c r="I13" s="19"/>
      <c r="J13" s="19">
        <v>0.989</v>
      </c>
      <c r="K13" s="19"/>
      <c r="L13" s="19">
        <v>0.989</v>
      </c>
      <c r="M13" s="19"/>
      <c r="N13" s="20">
        <v>0.928</v>
      </c>
      <c r="O13" s="19"/>
      <c r="P13" s="19">
        <v>0.987</v>
      </c>
      <c r="Q13" s="19"/>
      <c r="R13" s="19">
        <v>0.986</v>
      </c>
      <c r="S13" s="19"/>
      <c r="T13" s="19">
        <v>0.972</v>
      </c>
      <c r="U13" s="15"/>
      <c r="V13" s="15"/>
      <c r="W13" s="15"/>
      <c r="X13" s="15"/>
      <c r="Y13" s="15"/>
      <c r="Z13" s="15"/>
      <c r="AA13" s="15"/>
    </row>
    <row r="14" spans="2:27" ht="12.75">
      <c r="B14" s="32" t="s">
        <v>8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"/>
      <c r="U14" s="15"/>
      <c r="V14" s="15"/>
      <c r="W14" s="15"/>
      <c r="X14" s="15"/>
      <c r="Y14" s="15"/>
      <c r="Z14" s="15"/>
      <c r="AA14" s="15"/>
    </row>
    <row r="15" spans="2:27" ht="12.75">
      <c r="B15" s="23" t="s">
        <v>17</v>
      </c>
      <c r="C15" s="21" t="s">
        <v>1</v>
      </c>
      <c r="D15" s="21"/>
      <c r="E15" s="21"/>
      <c r="F15" s="21"/>
      <c r="G15" s="21"/>
      <c r="H15" s="22"/>
      <c r="I15" s="21" t="s">
        <v>2</v>
      </c>
      <c r="J15" s="21"/>
      <c r="K15" s="21"/>
      <c r="L15" s="21"/>
      <c r="M15" s="21"/>
      <c r="N15" s="22"/>
      <c r="O15" s="21" t="s">
        <v>3</v>
      </c>
      <c r="P15" s="21"/>
      <c r="Q15" s="21"/>
      <c r="R15" s="21"/>
      <c r="S15" s="21"/>
      <c r="T15" s="21"/>
      <c r="U15" s="15"/>
      <c r="V15" s="15"/>
      <c r="W15" s="15"/>
      <c r="X15" s="15"/>
      <c r="Y15" s="15"/>
      <c r="Z15" s="15"/>
      <c r="AA15" s="15"/>
    </row>
    <row r="16" spans="2:27" ht="25.5">
      <c r="B16" s="24"/>
      <c r="C16" s="12" t="s">
        <v>4</v>
      </c>
      <c r="D16" s="11" t="s">
        <v>16</v>
      </c>
      <c r="E16" s="12" t="s">
        <v>5</v>
      </c>
      <c r="F16" s="11" t="s">
        <v>16</v>
      </c>
      <c r="G16" s="12" t="s">
        <v>6</v>
      </c>
      <c r="H16" s="14" t="s">
        <v>16</v>
      </c>
      <c r="I16" s="12" t="s">
        <v>4</v>
      </c>
      <c r="J16" s="11" t="s">
        <v>16</v>
      </c>
      <c r="K16" s="12" t="s">
        <v>5</v>
      </c>
      <c r="L16" s="11" t="s">
        <v>16</v>
      </c>
      <c r="M16" s="12" t="s">
        <v>6</v>
      </c>
      <c r="N16" s="14" t="s">
        <v>16</v>
      </c>
      <c r="O16" s="12" t="s">
        <v>4</v>
      </c>
      <c r="P16" s="11" t="s">
        <v>16</v>
      </c>
      <c r="Q16" s="12" t="s">
        <v>5</v>
      </c>
      <c r="R16" s="11" t="s">
        <v>16</v>
      </c>
      <c r="S16" s="12" t="s">
        <v>6</v>
      </c>
      <c r="T16" s="11" t="s">
        <v>16</v>
      </c>
      <c r="U16" s="15"/>
      <c r="V16" s="15"/>
      <c r="W16" s="15"/>
      <c r="X16" s="15"/>
      <c r="Y16" s="15"/>
      <c r="Z16" s="15"/>
      <c r="AA16" s="15"/>
    </row>
    <row r="17" spans="2:27" ht="12.75" customHeight="1">
      <c r="B17" s="8">
        <v>0</v>
      </c>
      <c r="C17" s="1">
        <v>0</v>
      </c>
      <c r="D17" s="5">
        <f>+(1-EXP($B17*(-0.01119)))*100</f>
        <v>0</v>
      </c>
      <c r="E17" s="5">
        <v>0</v>
      </c>
      <c r="F17" s="5">
        <f>+(1-EXP($B17*(-0.010757)))*100</f>
        <v>0</v>
      </c>
      <c r="G17" s="5">
        <v>0</v>
      </c>
      <c r="H17" s="6">
        <f>+(1-EXP($B17*(-0.010542)))*100</f>
        <v>0</v>
      </c>
      <c r="I17" s="5">
        <v>0</v>
      </c>
      <c r="J17" s="5">
        <f>+(1-EXP($B17*(-0.0109658)))*100</f>
        <v>0</v>
      </c>
      <c r="K17" s="1">
        <v>0</v>
      </c>
      <c r="L17" s="5">
        <f>+(1-EXP($B17*(-0.01178838)))*100</f>
        <v>0</v>
      </c>
      <c r="M17" s="1">
        <v>0</v>
      </c>
      <c r="N17" s="6">
        <f aca="true" t="shared" si="9" ref="N17:N23">+(1-EXP($B17*(-0.0103323)))*100</f>
        <v>0</v>
      </c>
      <c r="O17" s="5">
        <v>0</v>
      </c>
      <c r="P17" s="5">
        <f>+(1-EXP($B17*(-0.0106)))*100</f>
        <v>0</v>
      </c>
      <c r="Q17" s="5">
        <v>0</v>
      </c>
      <c r="R17" s="5">
        <f>+(1-EXP($B17*(-0.01078)))*100</f>
        <v>0</v>
      </c>
      <c r="S17" s="5">
        <v>0</v>
      </c>
      <c r="T17" s="5">
        <f>+(1-EXP($B17*(-0.0112877)))*100</f>
        <v>0</v>
      </c>
      <c r="U17" s="15"/>
      <c r="V17" s="15"/>
      <c r="W17" s="15"/>
      <c r="X17" s="15"/>
      <c r="Y17" s="15"/>
      <c r="Z17" s="15"/>
      <c r="AA17" s="15"/>
    </row>
    <row r="18" spans="2:27" ht="12.75">
      <c r="B18" s="8">
        <v>15</v>
      </c>
      <c r="C18" s="1">
        <v>9.619012475696707</v>
      </c>
      <c r="D18" s="5">
        <f aca="true" t="shared" si="10" ref="D18:D23">+(1-EXP($B18*(-0.01119)))*100</f>
        <v>15.45193527294324</v>
      </c>
      <c r="E18" s="5">
        <v>10.469614117519978</v>
      </c>
      <c r="F18" s="5">
        <f aca="true" t="shared" si="11" ref="F18:F23">+(1-EXP($B18*(-0.010757)))*100</f>
        <v>14.901008394239735</v>
      </c>
      <c r="G18" s="5">
        <v>5.8286634802333195</v>
      </c>
      <c r="H18" s="6">
        <f aca="true" t="shared" si="12" ref="H18:H23">+(1-EXP($B18*(-0.010542)))*100</f>
        <v>14.626121128845615</v>
      </c>
      <c r="I18" s="5">
        <v>6.677836000876994</v>
      </c>
      <c r="J18" s="5">
        <f aca="true" t="shared" si="13" ref="J18:J23">+(1-EXP($B18*(-0.0109658)))*100</f>
        <v>15.167121485313706</v>
      </c>
      <c r="K18" s="1">
        <v>10.358140758605563</v>
      </c>
      <c r="L18" s="5">
        <f aca="true" t="shared" si="14" ref="L18:L23">+(1-EXP($B18*(-0.01178838)))*100</f>
        <v>16.207417773374424</v>
      </c>
      <c r="M18" s="1">
        <v>8.11043762332822</v>
      </c>
      <c r="N18" s="6">
        <f t="shared" si="9"/>
        <v>14.35715479782581</v>
      </c>
      <c r="O18" s="5">
        <v>9.323689433741976</v>
      </c>
      <c r="P18" s="5">
        <f aca="true" t="shared" si="15" ref="P18:P23">+(1-EXP($B18*(-0.0106)))*100</f>
        <v>14.70036410308685</v>
      </c>
      <c r="Q18" s="5">
        <v>9.018947266005057</v>
      </c>
      <c r="R18" s="5">
        <f aca="true" t="shared" si="16" ref="R18:R23">+(1-EXP($B18*(-0.01078)))*100</f>
        <v>14.930362482472347</v>
      </c>
      <c r="S18" s="5">
        <v>10.439997664915358</v>
      </c>
      <c r="T18" s="5">
        <f aca="true" t="shared" si="17" ref="T18:T23">+(1-EXP($B18*(-0.0112877)))*100</f>
        <v>15.575749714609021</v>
      </c>
      <c r="U18" s="15"/>
      <c r="V18" s="15"/>
      <c r="W18" s="15"/>
      <c r="X18" s="15"/>
      <c r="Y18" s="15"/>
      <c r="Z18" s="15"/>
      <c r="AA18" s="15"/>
    </row>
    <row r="19" spans="2:27" ht="12.75">
      <c r="B19" s="8">
        <v>30</v>
      </c>
      <c r="C19" s="1">
        <v>20.150391283214518</v>
      </c>
      <c r="D19" s="5">
        <f t="shared" si="10"/>
        <v>28.516247509094207</v>
      </c>
      <c r="E19" s="5">
        <v>18.38647764095918</v>
      </c>
      <c r="F19" s="5">
        <f t="shared" si="11"/>
        <v>27.581616276827436</v>
      </c>
      <c r="G19" s="5">
        <v>15.767117952041474</v>
      </c>
      <c r="H19" s="6">
        <f t="shared" si="12"/>
        <v>27.113008064934586</v>
      </c>
      <c r="I19" s="5">
        <v>17.631536943652705</v>
      </c>
      <c r="J19" s="5">
        <f t="shared" si="13"/>
        <v>28.033827229124775</v>
      </c>
      <c r="K19" s="1">
        <v>21.3849623620551</v>
      </c>
      <c r="L19" s="5">
        <f t="shared" si="14"/>
        <v>29.788031637941902</v>
      </c>
      <c r="M19" s="1">
        <v>19.19966849375137</v>
      </c>
      <c r="N19" s="6">
        <f t="shared" si="9"/>
        <v>26.653030656764287</v>
      </c>
      <c r="O19" s="5">
        <v>19.701973146526555</v>
      </c>
      <c r="P19" s="5">
        <f t="shared" si="15"/>
        <v>27.239721158540455</v>
      </c>
      <c r="Q19" s="5">
        <v>19.18820522799507</v>
      </c>
      <c r="R19" s="5">
        <f t="shared" si="16"/>
        <v>27.631567726364516</v>
      </c>
      <c r="S19" s="5">
        <v>24.277775053512357</v>
      </c>
      <c r="T19" s="5">
        <f t="shared" si="17"/>
        <v>28.72545963749661</v>
      </c>
      <c r="U19" s="15"/>
      <c r="V19" s="15"/>
      <c r="W19" s="15"/>
      <c r="X19" s="15"/>
      <c r="Y19" s="15"/>
      <c r="Z19" s="15"/>
      <c r="AA19" s="15"/>
    </row>
    <row r="20" spans="2:27" ht="12.75">
      <c r="B20" s="8">
        <v>45</v>
      </c>
      <c r="C20" s="1">
        <v>34.173934705119905</v>
      </c>
      <c r="D20" s="5">
        <f t="shared" si="10"/>
        <v>39.56187067465993</v>
      </c>
      <c r="E20" s="5">
        <v>28.570172553467273</v>
      </c>
      <c r="F20" s="5">
        <f t="shared" si="11"/>
        <v>38.37268571439012</v>
      </c>
      <c r="G20" s="5">
        <v>27.75513220998056</v>
      </c>
      <c r="H20" s="6">
        <f t="shared" si="12"/>
        <v>37.77354779252919</v>
      </c>
      <c r="I20" s="5">
        <v>35.18208287656215</v>
      </c>
      <c r="J20" s="5">
        <f t="shared" si="13"/>
        <v>38.94902408161417</v>
      </c>
      <c r="K20" s="1">
        <v>38.19606153621282</v>
      </c>
      <c r="L20" s="5">
        <f t="shared" si="14"/>
        <v>41.16757867729013</v>
      </c>
      <c r="M20" s="1">
        <v>27.495907476430602</v>
      </c>
      <c r="N20" s="6">
        <f t="shared" si="9"/>
        <v>37.18356858488649</v>
      </c>
      <c r="O20" s="5">
        <v>34.686744502821554</v>
      </c>
      <c r="P20" s="5">
        <f t="shared" si="15"/>
        <v>37.93574707065627</v>
      </c>
      <c r="Q20" s="5">
        <v>35.02262437568918</v>
      </c>
      <c r="R20" s="5">
        <f t="shared" si="16"/>
        <v>38.436436987700795</v>
      </c>
      <c r="S20" s="5">
        <v>35.95293053123175</v>
      </c>
      <c r="T20" s="5">
        <f t="shared" si="17"/>
        <v>39.82700365459812</v>
      </c>
      <c r="U20" s="15"/>
      <c r="V20" s="15"/>
      <c r="W20" s="15"/>
      <c r="X20" s="15"/>
      <c r="Y20" s="15"/>
      <c r="Z20" s="15"/>
      <c r="AA20" s="15"/>
    </row>
    <row r="21" spans="2:27" ht="12.75">
      <c r="B21" s="8">
        <v>60</v>
      </c>
      <c r="C21" s="1">
        <v>46.97406918340894</v>
      </c>
      <c r="D21" s="5">
        <f t="shared" si="10"/>
        <v>48.90073129818919</v>
      </c>
      <c r="E21" s="5">
        <v>44.46360661049903</v>
      </c>
      <c r="F21" s="5">
        <f t="shared" si="11"/>
        <v>47.55577698923336</v>
      </c>
      <c r="G21" s="5">
        <v>49.8635194426442</v>
      </c>
      <c r="H21" s="6">
        <f t="shared" si="12"/>
        <v>46.874864066577096</v>
      </c>
      <c r="I21" s="5">
        <v>46.138436746327564</v>
      </c>
      <c r="J21" s="5">
        <f t="shared" si="13"/>
        <v>48.208699767125374</v>
      </c>
      <c r="K21" s="1">
        <v>52.11346049842871</v>
      </c>
      <c r="L21" s="5">
        <f t="shared" si="14"/>
        <v>50.70279498725353</v>
      </c>
      <c r="M21" s="1">
        <v>42.74752948914711</v>
      </c>
      <c r="N21" s="6">
        <f t="shared" si="9"/>
        <v>46.20222088162441</v>
      </c>
      <c r="O21" s="5">
        <v>46.35449503794513</v>
      </c>
      <c r="P21" s="5">
        <f t="shared" si="15"/>
        <v>47.05941822913054</v>
      </c>
      <c r="Q21" s="5">
        <v>45.145064539145096</v>
      </c>
      <c r="R21" s="5">
        <f t="shared" si="16"/>
        <v>47.62810010256233</v>
      </c>
      <c r="S21" s="5">
        <v>49.575964973730294</v>
      </c>
      <c r="T21" s="5">
        <f t="shared" si="17"/>
        <v>49.199398961138755</v>
      </c>
      <c r="U21" s="15"/>
      <c r="V21" s="15"/>
      <c r="W21" s="15"/>
      <c r="X21" s="15"/>
      <c r="Y21" s="15"/>
      <c r="Z21" s="15"/>
      <c r="AA21" s="15"/>
    </row>
    <row r="22" spans="2:27" ht="12.75">
      <c r="B22" s="8">
        <v>75</v>
      </c>
      <c r="C22" s="1">
        <v>63.11061406351264</v>
      </c>
      <c r="D22" s="5">
        <f t="shared" si="10"/>
        <v>56.79655722294035</v>
      </c>
      <c r="E22" s="5">
        <v>63.286820587599905</v>
      </c>
      <c r="F22" s="5">
        <f t="shared" si="11"/>
        <v>55.37049506236149</v>
      </c>
      <c r="G22" s="5">
        <v>60.21983327932598</v>
      </c>
      <c r="H22" s="6">
        <f t="shared" si="12"/>
        <v>54.64501079806341</v>
      </c>
      <c r="I22" s="5">
        <v>61.48006139004604</v>
      </c>
      <c r="J22" s="5">
        <f t="shared" si="13"/>
        <v>56.06394919226902</v>
      </c>
      <c r="K22" s="1">
        <v>61.51824453701674</v>
      </c>
      <c r="L22" s="5">
        <f t="shared" si="14"/>
        <v>58.69259895426623</v>
      </c>
      <c r="M22" s="1">
        <v>60.6918193378645</v>
      </c>
      <c r="N22" s="6">
        <f t="shared" si="9"/>
        <v>53.926051307442</v>
      </c>
      <c r="O22" s="5">
        <v>58.0367912045145</v>
      </c>
      <c r="P22" s="5">
        <f t="shared" si="15"/>
        <v>54.84187650774077</v>
      </c>
      <c r="Q22" s="5">
        <v>61.17504767464487</v>
      </c>
      <c r="R22" s="5">
        <f t="shared" si="16"/>
        <v>55.447414596207345</v>
      </c>
      <c r="S22" s="5">
        <v>60.471470714146726</v>
      </c>
      <c r="T22" s="5">
        <f t="shared" si="17"/>
        <v>57.11197343246886</v>
      </c>
      <c r="U22" s="15"/>
      <c r="V22" s="15"/>
      <c r="W22" s="15"/>
      <c r="X22" s="15"/>
      <c r="Y22" s="15"/>
      <c r="Z22" s="15"/>
      <c r="AA22" s="15"/>
    </row>
    <row r="23" spans="2:27" ht="12.75">
      <c r="B23" s="8">
        <v>90</v>
      </c>
      <c r="C23" s="1">
        <v>71.27644523655218</v>
      </c>
      <c r="D23" s="5">
        <f t="shared" si="10"/>
        <v>63.47232523653468</v>
      </c>
      <c r="E23" s="5">
        <v>72.57392039317347</v>
      </c>
      <c r="F23" s="5">
        <f t="shared" si="11"/>
        <v>62.02074133942664</v>
      </c>
      <c r="G23" s="5">
        <v>71.49122537265069</v>
      </c>
      <c r="H23" s="6">
        <f t="shared" si="12"/>
        <v>61.2786864567135</v>
      </c>
      <c r="I23" s="5">
        <v>72.32548783161587</v>
      </c>
      <c r="J23" s="5">
        <f t="shared" si="13"/>
        <v>62.727783394126746</v>
      </c>
      <c r="K23" s="1">
        <v>71.74211868742235</v>
      </c>
      <c r="L23" s="5">
        <f t="shared" si="14"/>
        <v>65.38746201307153</v>
      </c>
      <c r="M23" s="1">
        <v>71.6862416136812</v>
      </c>
      <c r="N23" s="6">
        <f t="shared" si="9"/>
        <v>60.54095944270339</v>
      </c>
      <c r="O23" s="5">
        <v>69.45211714341312</v>
      </c>
      <c r="P23" s="5">
        <f t="shared" si="15"/>
        <v>61.48028508322447</v>
      </c>
      <c r="Q23" s="5">
        <v>69.1451508075501</v>
      </c>
      <c r="R23" s="5">
        <f t="shared" si="16"/>
        <v>62.09927709230665</v>
      </c>
      <c r="S23" s="5">
        <v>68.25753804242069</v>
      </c>
      <c r="T23" s="5">
        <f t="shared" si="17"/>
        <v>63.79210510816253</v>
      </c>
      <c r="U23" s="15"/>
      <c r="V23" s="15"/>
      <c r="W23" s="15"/>
      <c r="X23" s="15"/>
      <c r="Y23" s="15"/>
      <c r="Z23" s="15"/>
      <c r="AA23" s="15"/>
    </row>
    <row r="24" spans="2:27" ht="14.25">
      <c r="B24" s="18" t="s">
        <v>19</v>
      </c>
      <c r="C24" s="19"/>
      <c r="D24" s="19">
        <v>0.945</v>
      </c>
      <c r="E24" s="19"/>
      <c r="F24" s="19">
        <v>0.913</v>
      </c>
      <c r="G24" s="19"/>
      <c r="H24" s="20">
        <v>0.903</v>
      </c>
      <c r="I24" s="19"/>
      <c r="J24" s="19">
        <v>0.929</v>
      </c>
      <c r="K24" s="19"/>
      <c r="L24" s="19">
        <v>0.962</v>
      </c>
      <c r="M24" s="19"/>
      <c r="N24" s="20">
        <v>0.913</v>
      </c>
      <c r="O24" s="19"/>
      <c r="P24" s="19">
        <v>0.956</v>
      </c>
      <c r="Q24" s="19"/>
      <c r="R24" s="19">
        <v>0.949</v>
      </c>
      <c r="S24" s="19"/>
      <c r="T24" s="19">
        <v>0.9763</v>
      </c>
      <c r="U24" s="15"/>
      <c r="V24" s="15"/>
      <c r="W24" s="15"/>
      <c r="X24" s="15"/>
      <c r="Y24" s="15"/>
      <c r="Z24" s="15"/>
      <c r="AA24" s="15"/>
    </row>
    <row r="25" spans="21:27" ht="12.75">
      <c r="U25" s="15"/>
      <c r="V25" s="15"/>
      <c r="W25" s="15"/>
      <c r="X25" s="15"/>
      <c r="Y25" s="15"/>
      <c r="Z25" s="15"/>
      <c r="AA25" s="15"/>
    </row>
    <row r="26" spans="20:27" ht="12.75">
      <c r="T26" s="15"/>
      <c r="U26" s="15"/>
      <c r="V26" s="15"/>
      <c r="W26" s="15"/>
      <c r="X26" s="15"/>
      <c r="Y26" s="15"/>
      <c r="Z26" s="15"/>
      <c r="AA26" s="15"/>
    </row>
    <row r="27" spans="20:27" ht="12.75">
      <c r="T27" s="15"/>
      <c r="U27" s="15"/>
      <c r="V27" s="15"/>
      <c r="W27" s="15"/>
      <c r="X27" s="15"/>
      <c r="Y27" s="15"/>
      <c r="Z27" s="15"/>
      <c r="AA27" s="15"/>
    </row>
    <row r="28" spans="1:27" ht="15">
      <c r="A28" s="15"/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5"/>
      <c r="M28" s="15"/>
      <c r="N28" s="15"/>
      <c r="O28" s="15"/>
      <c r="P28" s="15"/>
      <c r="Q28" s="15"/>
      <c r="R28" s="2"/>
      <c r="S28" s="15"/>
      <c r="T28" s="15"/>
      <c r="U28" s="15"/>
      <c r="V28" s="15"/>
      <c r="W28" s="15"/>
      <c r="X28" s="15"/>
      <c r="Y28" s="15"/>
      <c r="Z28" s="15"/>
      <c r="AA28" s="15"/>
    </row>
    <row r="29" spans="1:27" ht="15">
      <c r="A29" s="15"/>
      <c r="B29" s="15"/>
      <c r="C29" s="16"/>
      <c r="D29" s="17"/>
      <c r="E29" s="17"/>
      <c r="F29" s="17"/>
      <c r="G29" s="17"/>
      <c r="H29" s="17"/>
      <c r="I29" s="17"/>
      <c r="J29" s="17"/>
      <c r="K29" s="17"/>
      <c r="L29" s="15"/>
      <c r="M29" s="15"/>
      <c r="N29" s="15"/>
      <c r="O29" s="15"/>
      <c r="P29" s="15"/>
      <c r="Q29" s="15"/>
      <c r="R29" s="2"/>
      <c r="S29" s="15"/>
      <c r="T29" s="15"/>
      <c r="U29" s="15"/>
      <c r="V29" s="15"/>
      <c r="W29" s="15"/>
      <c r="X29" s="15"/>
      <c r="Y29" s="15"/>
      <c r="Z29" s="15"/>
      <c r="AA29" s="15"/>
    </row>
    <row r="30" spans="1:27" ht="15">
      <c r="A30" s="15"/>
      <c r="B30" s="15"/>
      <c r="C30" s="16"/>
      <c r="D30" s="17"/>
      <c r="E30" s="17"/>
      <c r="F30" s="17"/>
      <c r="G30" s="17"/>
      <c r="H30" s="17"/>
      <c r="I30" s="17"/>
      <c r="J30" s="17"/>
      <c r="K30" s="17"/>
      <c r="L30" s="15"/>
      <c r="M30" s="15"/>
      <c r="N30" s="15"/>
      <c r="O30" s="15"/>
      <c r="P30" s="15"/>
      <c r="Q30" s="15"/>
      <c r="R30" s="2"/>
      <c r="S30" s="15"/>
      <c r="T30" s="15"/>
      <c r="U30" s="15"/>
      <c r="V30" s="15"/>
      <c r="W30" s="15"/>
      <c r="X30" s="15"/>
      <c r="Y30" s="15"/>
      <c r="Z30" s="15"/>
      <c r="AA30" s="15"/>
    </row>
    <row r="31" spans="1:27" ht="15">
      <c r="A31" s="15"/>
      <c r="B31" s="15"/>
      <c r="C31" s="16"/>
      <c r="D31" s="17"/>
      <c r="E31" s="17"/>
      <c r="F31" s="17"/>
      <c r="G31" s="17"/>
      <c r="H31" s="17"/>
      <c r="I31" s="17"/>
      <c r="J31" s="17"/>
      <c r="K31" s="17"/>
      <c r="L31" s="15"/>
      <c r="M31" s="15"/>
      <c r="N31" s="15"/>
      <c r="O31" s="15"/>
      <c r="P31" s="15"/>
      <c r="Q31" s="15"/>
      <c r="R31" s="2"/>
      <c r="S31" s="15"/>
      <c r="T31" s="15"/>
      <c r="U31" s="15"/>
      <c r="V31" s="15"/>
      <c r="W31" s="15"/>
      <c r="X31" s="15"/>
      <c r="Y31" s="15"/>
      <c r="Z31" s="15"/>
      <c r="AA31" s="15"/>
    </row>
    <row r="32" spans="1:27" ht="15">
      <c r="A32" s="15"/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5"/>
      <c r="M32" s="15"/>
      <c r="N32" s="15"/>
      <c r="O32" s="15"/>
      <c r="P32" s="15"/>
      <c r="Q32" s="15"/>
      <c r="R32" s="2"/>
      <c r="S32" s="15"/>
      <c r="T32" s="15"/>
      <c r="U32" s="15"/>
      <c r="V32" s="15"/>
      <c r="W32" s="15"/>
      <c r="X32" s="15"/>
      <c r="Y32" s="15"/>
      <c r="Z32" s="15"/>
      <c r="AA32" s="15"/>
    </row>
    <row r="33" spans="1:27" ht="15">
      <c r="A33" s="15"/>
      <c r="B33" s="15"/>
      <c r="C33" s="16"/>
      <c r="D33" s="17"/>
      <c r="E33" s="17"/>
      <c r="F33" s="17"/>
      <c r="G33" s="17"/>
      <c r="H33" s="17"/>
      <c r="I33" s="17"/>
      <c r="J33" s="17"/>
      <c r="K33" s="17"/>
      <c r="L33" s="15"/>
      <c r="M33" s="15"/>
      <c r="N33" s="15"/>
      <c r="O33" s="15"/>
      <c r="P33" s="15"/>
      <c r="Q33" s="15"/>
      <c r="R33" s="2"/>
      <c r="S33" s="15"/>
      <c r="T33" s="15"/>
      <c r="U33" s="15"/>
      <c r="V33" s="15"/>
      <c r="W33" s="15"/>
      <c r="X33" s="15"/>
      <c r="Y33" s="15"/>
      <c r="Z33" s="15"/>
      <c r="AA33" s="15"/>
    </row>
    <row r="34" spans="1:27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2"/>
      <c r="S34" s="15"/>
      <c r="T34" s="15"/>
      <c r="U34" s="15"/>
      <c r="V34" s="15"/>
      <c r="W34" s="15"/>
      <c r="X34" s="15"/>
      <c r="Y34" s="15"/>
      <c r="Z34" s="15"/>
      <c r="AA34" s="15"/>
    </row>
    <row r="35" spans="1:27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2"/>
      <c r="S35" s="15"/>
      <c r="T35" s="15"/>
      <c r="U35" s="15"/>
      <c r="V35" s="15"/>
      <c r="W35" s="15"/>
      <c r="X35" s="15"/>
      <c r="Y35" s="15"/>
      <c r="Z35" s="15"/>
      <c r="AA35" s="15"/>
    </row>
    <row r="36" spans="1:27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2"/>
      <c r="S36" s="15"/>
      <c r="T36" s="15"/>
      <c r="U36" s="15"/>
      <c r="V36" s="15"/>
      <c r="W36" s="15"/>
      <c r="X36" s="15"/>
      <c r="Y36" s="15"/>
      <c r="Z36" s="15"/>
      <c r="AA36" s="15"/>
    </row>
    <row r="37" spans="1:27" ht="15">
      <c r="A37" s="16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2"/>
      <c r="S37" s="15"/>
      <c r="T37" s="15"/>
      <c r="U37" s="15"/>
      <c r="V37" s="15"/>
      <c r="W37" s="15"/>
      <c r="X37" s="15"/>
      <c r="Y37" s="15"/>
      <c r="Z37" s="15"/>
      <c r="AA37" s="15"/>
    </row>
    <row r="38" spans="1:27" ht="15">
      <c r="A38" s="16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2"/>
      <c r="S38" s="15"/>
      <c r="T38" s="15"/>
      <c r="U38" s="15"/>
      <c r="V38" s="15"/>
      <c r="W38" s="15"/>
      <c r="X38" s="15"/>
      <c r="Y38" s="15"/>
      <c r="Z38" s="15"/>
      <c r="AA38" s="15"/>
    </row>
    <row r="39" spans="1:27" ht="15">
      <c r="A39" s="16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2"/>
      <c r="S39" s="15"/>
      <c r="T39" s="15"/>
      <c r="U39" s="15"/>
      <c r="V39" s="15"/>
      <c r="W39" s="15"/>
      <c r="X39" s="15"/>
      <c r="Y39" s="15"/>
      <c r="Z39" s="15"/>
      <c r="AA39" s="15"/>
    </row>
    <row r="40" spans="1:27" ht="15">
      <c r="A40" s="16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2"/>
      <c r="S40" s="15"/>
      <c r="T40" s="15"/>
      <c r="U40" s="15"/>
      <c r="V40" s="15"/>
      <c r="W40" s="15"/>
      <c r="X40" s="15"/>
      <c r="Y40" s="15"/>
      <c r="Z40" s="15"/>
      <c r="AA40" s="15"/>
    </row>
    <row r="41" spans="1:27" ht="15">
      <c r="A41" s="16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2"/>
      <c r="S41" s="15"/>
      <c r="T41" s="15"/>
      <c r="U41" s="15"/>
      <c r="V41" s="15"/>
      <c r="W41" s="15"/>
      <c r="X41" s="15"/>
      <c r="Y41" s="15"/>
      <c r="Z41" s="15"/>
      <c r="AA41" s="15"/>
    </row>
    <row r="42" spans="1:27" ht="15">
      <c r="A42" s="1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2"/>
      <c r="S42" s="15"/>
      <c r="T42" s="15"/>
      <c r="U42" s="15"/>
      <c r="V42" s="15"/>
      <c r="W42" s="15"/>
      <c r="X42" s="15"/>
      <c r="Y42" s="15"/>
      <c r="Z42" s="15"/>
      <c r="AA42" s="15"/>
    </row>
    <row r="43" spans="1:27" ht="15">
      <c r="A43" s="1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2"/>
      <c r="S43" s="15"/>
      <c r="T43" s="15"/>
      <c r="U43" s="15"/>
      <c r="V43" s="15"/>
      <c r="W43" s="15"/>
      <c r="X43" s="15"/>
      <c r="Y43" s="15"/>
      <c r="Z43" s="15"/>
      <c r="AA43" s="15"/>
    </row>
    <row r="44" spans="1:27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2"/>
      <c r="S44" s="15"/>
      <c r="T44" s="15"/>
      <c r="U44" s="15"/>
      <c r="V44" s="15"/>
      <c r="W44" s="15"/>
      <c r="X44" s="15"/>
      <c r="Y44" s="15"/>
      <c r="Z44" s="15"/>
      <c r="AA44" s="15"/>
    </row>
    <row r="45" spans="1:27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2"/>
      <c r="S45" s="15"/>
      <c r="T45" s="15"/>
      <c r="U45" s="15"/>
      <c r="V45" s="15"/>
      <c r="W45" s="15"/>
      <c r="X45" s="15"/>
      <c r="Y45" s="15"/>
      <c r="Z45" s="15"/>
      <c r="AA45" s="15"/>
    </row>
    <row r="46" spans="1:27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2"/>
      <c r="S46" s="15"/>
      <c r="T46" s="15"/>
      <c r="U46" s="15"/>
      <c r="V46" s="15"/>
      <c r="W46" s="15"/>
      <c r="X46" s="15"/>
      <c r="Y46" s="15"/>
      <c r="Z46" s="15"/>
      <c r="AA46" s="15"/>
    </row>
    <row r="47" spans="1:27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2"/>
      <c r="S47" s="15"/>
      <c r="T47" s="15"/>
      <c r="U47" s="15"/>
      <c r="V47" s="15"/>
      <c r="W47" s="15"/>
      <c r="X47" s="15"/>
      <c r="Y47" s="15"/>
      <c r="Z47" s="15"/>
      <c r="AA47" s="15"/>
    </row>
    <row r="48" spans="1:27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2"/>
      <c r="S48" s="15"/>
      <c r="T48" s="15"/>
      <c r="U48" s="15"/>
      <c r="V48" s="15"/>
      <c r="W48" s="15"/>
      <c r="X48" s="15"/>
      <c r="Y48" s="15"/>
      <c r="Z48" s="15"/>
      <c r="AA48" s="15"/>
    </row>
    <row r="49" ht="15">
      <c r="R49" s="2"/>
    </row>
    <row r="50" ht="15">
      <c r="R50" s="2"/>
    </row>
    <row r="51" ht="15">
      <c r="R51" s="2"/>
    </row>
    <row r="52" ht="15">
      <c r="R52" s="2"/>
    </row>
    <row r="53" ht="15">
      <c r="R53" s="2"/>
    </row>
    <row r="54" ht="15">
      <c r="R54" s="2"/>
    </row>
    <row r="55" ht="15">
      <c r="R55" s="2"/>
    </row>
    <row r="56" ht="15">
      <c r="R56" s="2"/>
    </row>
    <row r="57" ht="15">
      <c r="R57" s="2"/>
    </row>
    <row r="58" ht="15">
      <c r="R58" s="2"/>
    </row>
    <row r="59" ht="15">
      <c r="R59" s="2"/>
    </row>
    <row r="60" ht="15">
      <c r="R60" s="2"/>
    </row>
    <row r="61" ht="15">
      <c r="R61" s="2"/>
    </row>
    <row r="62" ht="15">
      <c r="R62" s="2"/>
    </row>
    <row r="63" ht="15">
      <c r="R63" s="2"/>
    </row>
    <row r="64" ht="15">
      <c r="R64" s="2"/>
    </row>
    <row r="65" ht="15">
      <c r="R65" s="2"/>
    </row>
    <row r="66" ht="15">
      <c r="R66" s="2"/>
    </row>
    <row r="67" ht="15">
      <c r="R67" s="2"/>
    </row>
    <row r="68" ht="15">
      <c r="R68" s="2"/>
    </row>
    <row r="69" ht="15">
      <c r="R69" s="2"/>
    </row>
    <row r="70" ht="15">
      <c r="R70" s="2"/>
    </row>
    <row r="71" ht="15">
      <c r="R71" s="2"/>
    </row>
    <row r="72" ht="15">
      <c r="R72" s="2"/>
    </row>
    <row r="73" ht="15">
      <c r="R73" s="2"/>
    </row>
    <row r="74" ht="15">
      <c r="R74" s="2"/>
    </row>
    <row r="75" ht="15">
      <c r="R75" s="2"/>
    </row>
    <row r="76" ht="15">
      <c r="R76" s="2"/>
    </row>
    <row r="77" ht="15">
      <c r="R77" s="2"/>
    </row>
    <row r="78" ht="15">
      <c r="R78" s="2"/>
    </row>
    <row r="79" ht="15">
      <c r="R79" s="2"/>
    </row>
    <row r="80" ht="15">
      <c r="R80" s="2"/>
    </row>
    <row r="81" ht="15">
      <c r="R81" s="2"/>
    </row>
    <row r="82" ht="15">
      <c r="R82" s="2"/>
    </row>
    <row r="83" ht="15">
      <c r="R83" s="2"/>
    </row>
    <row r="84" ht="15">
      <c r="R84" s="2"/>
    </row>
    <row r="85" ht="15">
      <c r="R85" s="2"/>
    </row>
    <row r="86" ht="15">
      <c r="R86" s="2"/>
    </row>
  </sheetData>
  <sheetProtection/>
  <mergeCells count="11">
    <mergeCell ref="B2:T2"/>
    <mergeCell ref="B3:T3"/>
    <mergeCell ref="C4:H4"/>
    <mergeCell ref="I4:N4"/>
    <mergeCell ref="O4:T4"/>
    <mergeCell ref="B4:B5"/>
    <mergeCell ref="B14:S14"/>
    <mergeCell ref="C15:H15"/>
    <mergeCell ref="I15:N15"/>
    <mergeCell ref="O15:T15"/>
    <mergeCell ref="B15:B1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4"/>
  <sheetViews>
    <sheetView tabSelected="1" zoomScalePageLayoutView="0" workbookViewId="0" topLeftCell="A1">
      <selection activeCell="A24" sqref="A24:S24"/>
    </sheetView>
  </sheetViews>
  <sheetFormatPr defaultColWidth="9.140625" defaultRowHeight="12.75"/>
  <sheetData>
    <row r="2" spans="1:19" ht="15.75">
      <c r="A2" s="30" t="s">
        <v>13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>
      <c r="A3" s="31" t="s">
        <v>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12.75">
      <c r="A4" s="23" t="s">
        <v>17</v>
      </c>
      <c r="B4" s="25" t="s">
        <v>1</v>
      </c>
      <c r="C4" s="26"/>
      <c r="D4" s="26"/>
      <c r="E4" s="26"/>
      <c r="F4" s="26"/>
      <c r="G4" s="27"/>
      <c r="H4" s="26" t="s">
        <v>2</v>
      </c>
      <c r="I4" s="26"/>
      <c r="J4" s="26"/>
      <c r="K4" s="26"/>
      <c r="L4" s="26"/>
      <c r="M4" s="27"/>
      <c r="N4" s="25" t="s">
        <v>3</v>
      </c>
      <c r="O4" s="26"/>
      <c r="P4" s="26"/>
      <c r="Q4" s="26"/>
      <c r="R4" s="26"/>
      <c r="S4" s="26"/>
    </row>
    <row r="5" spans="1:19" ht="25.5">
      <c r="A5" s="24"/>
      <c r="B5" s="9" t="s">
        <v>4</v>
      </c>
      <c r="C5" s="10" t="s">
        <v>16</v>
      </c>
      <c r="D5" s="9" t="s">
        <v>5</v>
      </c>
      <c r="E5" s="10" t="s">
        <v>16</v>
      </c>
      <c r="F5" s="9" t="s">
        <v>6</v>
      </c>
      <c r="G5" s="13" t="s">
        <v>16</v>
      </c>
      <c r="H5" s="9" t="s">
        <v>4</v>
      </c>
      <c r="I5" s="10" t="s">
        <v>16</v>
      </c>
      <c r="J5" s="9" t="s">
        <v>5</v>
      </c>
      <c r="K5" s="10" t="s">
        <v>16</v>
      </c>
      <c r="L5" s="9" t="s">
        <v>6</v>
      </c>
      <c r="M5" s="13" t="s">
        <v>16</v>
      </c>
      <c r="N5" s="9" t="s">
        <v>4</v>
      </c>
      <c r="O5" s="10" t="s">
        <v>16</v>
      </c>
      <c r="P5" s="9" t="s">
        <v>5</v>
      </c>
      <c r="Q5" s="10" t="s">
        <v>16</v>
      </c>
      <c r="R5" s="9" t="s">
        <v>6</v>
      </c>
      <c r="S5" s="10" t="s">
        <v>16</v>
      </c>
    </row>
    <row r="6" spans="1:19" ht="12.75">
      <c r="A6" s="8">
        <v>0</v>
      </c>
      <c r="B6" s="5">
        <v>0</v>
      </c>
      <c r="C6" s="5">
        <f>+(1-EXP($B6*(-0.0069163)))*100</f>
        <v>0</v>
      </c>
      <c r="D6" s="5">
        <v>0</v>
      </c>
      <c r="E6" s="5">
        <f>+(1-EXP($B6*(-0.0064055)))*100</f>
        <v>0</v>
      </c>
      <c r="F6" s="5">
        <v>0</v>
      </c>
      <c r="G6" s="6">
        <f>+(1-EXP($B6*(-0.0061097)))*100</f>
        <v>0</v>
      </c>
      <c r="H6" s="5">
        <v>0</v>
      </c>
      <c r="I6" s="5">
        <f>+(1-EXP($B6*(-0.0063232)))*100</f>
        <v>0</v>
      </c>
      <c r="J6" s="5">
        <v>0</v>
      </c>
      <c r="K6" s="5">
        <f>+(1-EXP($B6*(-0.0068257)))*100</f>
        <v>0</v>
      </c>
      <c r="L6" s="5">
        <v>0</v>
      </c>
      <c r="M6" s="6">
        <f>+(1-EXP($B6*(-0.0058073)))*100</f>
        <v>0</v>
      </c>
      <c r="N6" s="5">
        <v>0.18631932282545022</v>
      </c>
      <c r="O6" s="5">
        <f>+(1-EXP($B6*(-0.0068913)))*100</f>
        <v>0</v>
      </c>
      <c r="P6" s="5">
        <v>0</v>
      </c>
      <c r="Q6" s="5">
        <f>+(1-EXP($B6*(-0.0062127)))*100</f>
        <v>0</v>
      </c>
      <c r="R6" s="5">
        <v>0</v>
      </c>
      <c r="S6" s="5">
        <f>+(1-EXP($B6*(-0.0065446)))*100</f>
        <v>0</v>
      </c>
    </row>
    <row r="7" spans="1:19" ht="12.75">
      <c r="A7" s="8">
        <v>15</v>
      </c>
      <c r="B7" s="5">
        <v>5.036114387556705</v>
      </c>
      <c r="C7" s="5">
        <f aca="true" t="shared" si="0" ref="C7:C12">+(1-EXP($B7*(-0.0069163)))*100</f>
        <v>3.42316510613776</v>
      </c>
      <c r="D7" s="5">
        <v>5.519194723482392</v>
      </c>
      <c r="E7" s="5">
        <f aca="true" t="shared" si="1" ref="E7:E12">+(1-EXP($B7*(-0.0064055)))*100</f>
        <v>3.1744064727647348</v>
      </c>
      <c r="F7" s="5">
        <v>4.228773720025917</v>
      </c>
      <c r="G7" s="6">
        <f aca="true" t="shared" si="2" ref="G7:G12">+(1-EXP($B7*(-0.0061097)))*100</f>
        <v>3.030059578545452</v>
      </c>
      <c r="H7" s="5">
        <v>8.437398816049113</v>
      </c>
      <c r="I7" s="5">
        <f aca="true" t="shared" si="3" ref="I7:I12">+(1-EXP($B7*(-0.0063232)))*100</f>
        <v>3.134266636785632</v>
      </c>
      <c r="J7" s="5">
        <v>6.813411605642034</v>
      </c>
      <c r="K7" s="5">
        <f aca="true" t="shared" si="4" ref="K7:K12">+(1-EXP($B7*(-0.0068257)))*100</f>
        <v>3.379089749640829</v>
      </c>
      <c r="L7" s="5">
        <v>3.528654724841037</v>
      </c>
      <c r="M7" s="6">
        <f aca="true" t="shared" si="5" ref="M7:M12">+(1-EXP($B7*(-0.0058073)))*100</f>
        <v>2.8822695130687803</v>
      </c>
      <c r="N7" s="5">
        <v>5.549541155866901</v>
      </c>
      <c r="O7" s="5">
        <f aca="true" t="shared" si="6" ref="O7:O12">+(1-EXP($B7*(-0.0068913)))*100</f>
        <v>3.4110050409674963</v>
      </c>
      <c r="P7" s="5">
        <v>6.563131348511387</v>
      </c>
      <c r="Q7" s="5">
        <f aca="true" t="shared" si="7" ref="Q7:Q12">+(1-EXP($B7*(-0.0062127)))*100</f>
        <v>3.0803467612877</v>
      </c>
      <c r="R7" s="5">
        <v>7.414021871959524</v>
      </c>
      <c r="S7" s="5">
        <f aca="true" t="shared" si="8" ref="S7:S12">+(1-EXP($B7*(-0.0065446)))*100</f>
        <v>3.242211325307487</v>
      </c>
    </row>
    <row r="8" spans="1:19" ht="12.75">
      <c r="A8" s="8">
        <v>30</v>
      </c>
      <c r="B8" s="5">
        <v>13.284420690213869</v>
      </c>
      <c r="C8" s="5">
        <f t="shared" si="0"/>
        <v>8.778451446643565</v>
      </c>
      <c r="D8" s="5">
        <v>13.189650005400734</v>
      </c>
      <c r="E8" s="5">
        <f t="shared" si="1"/>
        <v>8.157346090043639</v>
      </c>
      <c r="F8" s="5">
        <v>10.811517806221644</v>
      </c>
      <c r="G8" s="6">
        <f t="shared" si="2"/>
        <v>7.795737464626629</v>
      </c>
      <c r="H8" s="5">
        <v>15.985699408024557</v>
      </c>
      <c r="I8" s="5">
        <f t="shared" si="3"/>
        <v>8.056878887274943</v>
      </c>
      <c r="J8" s="5">
        <v>15.995052693122854</v>
      </c>
      <c r="K8" s="5">
        <f t="shared" si="4"/>
        <v>8.66859396571662</v>
      </c>
      <c r="L8" s="5">
        <v>9.047223284367469</v>
      </c>
      <c r="M8" s="6">
        <f t="shared" si="5"/>
        <v>7.424588696310163</v>
      </c>
      <c r="N8" s="5">
        <v>15.852751118894734</v>
      </c>
      <c r="O8" s="5">
        <f t="shared" si="6"/>
        <v>8.74815077966209</v>
      </c>
      <c r="P8" s="5">
        <v>14.821119024453525</v>
      </c>
      <c r="Q8" s="5">
        <f t="shared" si="7"/>
        <v>7.921813852024084</v>
      </c>
      <c r="R8" s="5">
        <v>20.48416715314263</v>
      </c>
      <c r="S8" s="5">
        <f t="shared" si="8"/>
        <v>8.326902018192184</v>
      </c>
    </row>
    <row r="9" spans="1:19" ht="12.75">
      <c r="A9" s="8">
        <v>45</v>
      </c>
      <c r="B9" s="5">
        <v>23.911027462734932</v>
      </c>
      <c r="C9" s="5">
        <f t="shared" si="0"/>
        <v>15.242490776069673</v>
      </c>
      <c r="D9" s="5">
        <v>23.767855044286023</v>
      </c>
      <c r="E9" s="5">
        <f t="shared" si="1"/>
        <v>14.200935808493076</v>
      </c>
      <c r="F9" s="5">
        <v>18.68732566429035</v>
      </c>
      <c r="G9" s="6">
        <f t="shared" si="2"/>
        <v>13.59193801236075</v>
      </c>
      <c r="H9" s="5">
        <v>21.26894672221004</v>
      </c>
      <c r="I9" s="5">
        <f t="shared" si="3"/>
        <v>14.03192751611384</v>
      </c>
      <c r="J9" s="5">
        <v>25.719953738215303</v>
      </c>
      <c r="K9" s="5">
        <f t="shared" si="4"/>
        <v>15.058678242574164</v>
      </c>
      <c r="L9" s="5">
        <v>17.30724477088358</v>
      </c>
      <c r="M9" s="6">
        <f t="shared" si="5"/>
        <v>12.964883407916128</v>
      </c>
      <c r="N9" s="5">
        <v>26.042036388402412</v>
      </c>
      <c r="O9" s="5">
        <f t="shared" si="6"/>
        <v>15.19180965133864</v>
      </c>
      <c r="P9" s="5">
        <v>22.819623597327627</v>
      </c>
      <c r="Q9" s="5">
        <f t="shared" si="7"/>
        <v>13.80448504165489</v>
      </c>
      <c r="R9" s="5">
        <v>26.345283634948437</v>
      </c>
      <c r="S9" s="5">
        <f t="shared" si="8"/>
        <v>14.485831500733159</v>
      </c>
    </row>
    <row r="10" spans="1:19" ht="12.75">
      <c r="A10" s="8">
        <v>60</v>
      </c>
      <c r="B10" s="5">
        <v>32.661410239792616</v>
      </c>
      <c r="C10" s="5">
        <f t="shared" si="0"/>
        <v>20.219902040522864</v>
      </c>
      <c r="D10" s="5">
        <v>30.069153839922226</v>
      </c>
      <c r="E10" s="5">
        <f t="shared" si="1"/>
        <v>18.87772999910472</v>
      </c>
      <c r="F10" s="5">
        <v>30.931544766688273</v>
      </c>
      <c r="G10" s="6">
        <f t="shared" si="2"/>
        <v>18.090189677250436</v>
      </c>
      <c r="H10" s="5">
        <v>29.245627055470294</v>
      </c>
      <c r="I10" s="5">
        <f t="shared" si="3"/>
        <v>18.65937723573926</v>
      </c>
      <c r="J10" s="5">
        <v>34.20184601330118</v>
      </c>
      <c r="K10" s="5">
        <f t="shared" si="4"/>
        <v>19.9834732179077</v>
      </c>
      <c r="L10" s="5">
        <v>29.288759701819778</v>
      </c>
      <c r="M10" s="6">
        <f t="shared" si="5"/>
        <v>17.277173612605544</v>
      </c>
      <c r="N10" s="5">
        <v>37.05924771356295</v>
      </c>
      <c r="O10" s="5">
        <f t="shared" si="6"/>
        <v>20.154732174686586</v>
      </c>
      <c r="P10" s="5">
        <v>31.750690990465074</v>
      </c>
      <c r="Q10" s="5">
        <f t="shared" si="7"/>
        <v>18.365281557551537</v>
      </c>
      <c r="R10" s="5">
        <v>33.95112076279431</v>
      </c>
      <c r="S10" s="5">
        <f t="shared" si="8"/>
        <v>19.245448928534802</v>
      </c>
    </row>
    <row r="11" spans="1:19" ht="12.75">
      <c r="A11" s="8">
        <v>75</v>
      </c>
      <c r="B11" s="5">
        <v>46.459076555411535</v>
      </c>
      <c r="C11" s="5">
        <f t="shared" si="0"/>
        <v>27.481240884814607</v>
      </c>
      <c r="D11" s="5">
        <v>41.26911603478073</v>
      </c>
      <c r="E11" s="5">
        <f t="shared" si="1"/>
        <v>25.73969387265782</v>
      </c>
      <c r="F11" s="5">
        <v>39.38318655217108</v>
      </c>
      <c r="G11" s="6">
        <f t="shared" si="2"/>
        <v>24.712119978785406</v>
      </c>
      <c r="H11" s="5">
        <v>39.741714974786234</v>
      </c>
      <c r="I11" s="5">
        <f t="shared" si="3"/>
        <v>25.455209975633785</v>
      </c>
      <c r="J11" s="5">
        <v>42.807204925820365</v>
      </c>
      <c r="K11" s="5">
        <f t="shared" si="4"/>
        <v>27.175352159123335</v>
      </c>
      <c r="L11" s="5">
        <v>40.98538921289191</v>
      </c>
      <c r="M11" s="6">
        <f t="shared" si="5"/>
        <v>23.646918524868752</v>
      </c>
      <c r="N11" s="5">
        <v>42.577307258221445</v>
      </c>
      <c r="O11" s="5">
        <f t="shared" si="6"/>
        <v>27.396963086394532</v>
      </c>
      <c r="P11" s="5">
        <v>39.43635363559707</v>
      </c>
      <c r="Q11" s="5">
        <f t="shared" si="7"/>
        <v>25.071533299675476</v>
      </c>
      <c r="R11" s="5">
        <v>39.45394430823117</v>
      </c>
      <c r="S11" s="5">
        <f t="shared" si="8"/>
        <v>26.218050603722986</v>
      </c>
    </row>
    <row r="12" spans="1:19" ht="12.75">
      <c r="A12" s="8">
        <v>90</v>
      </c>
      <c r="B12" s="5">
        <v>47.90983449449125</v>
      </c>
      <c r="C12" s="5">
        <f t="shared" si="0"/>
        <v>28.205246835990728</v>
      </c>
      <c r="D12" s="5">
        <v>46.36962108446749</v>
      </c>
      <c r="E12" s="5">
        <f t="shared" si="1"/>
        <v>26.42658574384942</v>
      </c>
      <c r="F12" s="5">
        <v>47.141466655865194</v>
      </c>
      <c r="G12" s="6">
        <f t="shared" si="2"/>
        <v>25.3765000620224</v>
      </c>
      <c r="H12" s="5">
        <v>46.572794124095594</v>
      </c>
      <c r="I12" s="5">
        <f t="shared" si="3"/>
        <v>26.13591461004976</v>
      </c>
      <c r="J12" s="5">
        <v>45.451440985164076</v>
      </c>
      <c r="K12" s="5">
        <f t="shared" si="4"/>
        <v>27.89293497948997</v>
      </c>
      <c r="L12" s="5">
        <v>43.86264735803552</v>
      </c>
      <c r="M12" s="6">
        <f t="shared" si="5"/>
        <v>24.287490019489255</v>
      </c>
      <c r="N12" s="5">
        <v>44.59044405526367</v>
      </c>
      <c r="O12" s="5">
        <f t="shared" si="6"/>
        <v>28.119203448680096</v>
      </c>
      <c r="P12" s="5">
        <v>43.031934487902966</v>
      </c>
      <c r="Q12" s="5">
        <f t="shared" si="7"/>
        <v>25.74383851341915</v>
      </c>
      <c r="R12" s="5">
        <v>41.35921790231562</v>
      </c>
      <c r="S12" s="5">
        <f t="shared" si="8"/>
        <v>26.915267796529452</v>
      </c>
    </row>
    <row r="13" spans="1:19" ht="14.25">
      <c r="A13" s="18" t="s">
        <v>19</v>
      </c>
      <c r="B13" s="19"/>
      <c r="C13" s="19">
        <v>0.954</v>
      </c>
      <c r="D13" s="19"/>
      <c r="E13" s="19">
        <v>0.971</v>
      </c>
      <c r="F13" s="19"/>
      <c r="G13" s="20">
        <v>0.941</v>
      </c>
      <c r="H13" s="19"/>
      <c r="I13" s="19">
        <v>0.979</v>
      </c>
      <c r="J13" s="19"/>
      <c r="K13" s="19">
        <v>0.987</v>
      </c>
      <c r="L13" s="19"/>
      <c r="M13" s="20">
        <v>0.923</v>
      </c>
      <c r="N13" s="19"/>
      <c r="O13" s="19">
        <v>0.976</v>
      </c>
      <c r="P13" s="19"/>
      <c r="Q13" s="19">
        <v>0.988</v>
      </c>
      <c r="R13" s="19"/>
      <c r="S13" s="19">
        <v>0.984</v>
      </c>
    </row>
    <row r="14" spans="1:19" ht="12.75">
      <c r="A14" s="32" t="s">
        <v>8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4"/>
    </row>
    <row r="15" spans="1:19" ht="12.75">
      <c r="A15" s="23" t="s">
        <v>17</v>
      </c>
      <c r="B15" s="21" t="s">
        <v>1</v>
      </c>
      <c r="C15" s="21"/>
      <c r="D15" s="21"/>
      <c r="E15" s="21"/>
      <c r="F15" s="21"/>
      <c r="G15" s="22"/>
      <c r="H15" s="21" t="s">
        <v>2</v>
      </c>
      <c r="I15" s="21"/>
      <c r="J15" s="21"/>
      <c r="K15" s="21"/>
      <c r="L15" s="21"/>
      <c r="M15" s="22"/>
      <c r="N15" s="21" t="s">
        <v>3</v>
      </c>
      <c r="O15" s="21"/>
      <c r="P15" s="21"/>
      <c r="Q15" s="21"/>
      <c r="R15" s="21"/>
      <c r="S15" s="21"/>
    </row>
    <row r="16" spans="1:19" ht="25.5">
      <c r="A16" s="24"/>
      <c r="B16" s="12" t="s">
        <v>4</v>
      </c>
      <c r="C16" s="11" t="s">
        <v>16</v>
      </c>
      <c r="D16" s="12" t="s">
        <v>5</v>
      </c>
      <c r="E16" s="11" t="s">
        <v>16</v>
      </c>
      <c r="F16" s="12" t="s">
        <v>6</v>
      </c>
      <c r="G16" s="14" t="s">
        <v>16</v>
      </c>
      <c r="H16" s="12" t="s">
        <v>4</v>
      </c>
      <c r="I16" s="11" t="s">
        <v>16</v>
      </c>
      <c r="J16" s="12" t="s">
        <v>5</v>
      </c>
      <c r="K16" s="11" t="s">
        <v>16</v>
      </c>
      <c r="L16" s="12" t="s">
        <v>6</v>
      </c>
      <c r="M16" s="14" t="s">
        <v>16</v>
      </c>
      <c r="N16" s="12" t="s">
        <v>4</v>
      </c>
      <c r="O16" s="11" t="s">
        <v>16</v>
      </c>
      <c r="P16" s="12" t="s">
        <v>5</v>
      </c>
      <c r="Q16" s="11" t="s">
        <v>16</v>
      </c>
      <c r="R16" s="12" t="s">
        <v>6</v>
      </c>
      <c r="S16" s="11" t="s">
        <v>16</v>
      </c>
    </row>
    <row r="17" spans="1:19" ht="12.75">
      <c r="A17" s="8">
        <v>0</v>
      </c>
      <c r="B17" s="1">
        <v>0</v>
      </c>
      <c r="C17" s="5">
        <f>+(1-EXP($B17*(-0.0126085)))*100</f>
        <v>0</v>
      </c>
      <c r="D17" s="1">
        <v>0</v>
      </c>
      <c r="E17" s="5">
        <f aca="true" t="shared" si="9" ref="E17:E23">+(1-EXP($B17*(-0.0114572)))*100</f>
        <v>0</v>
      </c>
      <c r="F17" s="1">
        <v>0</v>
      </c>
      <c r="G17" s="6">
        <f>+(1-EXP($B17*(-0.01179)))*100</f>
        <v>0</v>
      </c>
      <c r="H17" s="1">
        <v>0</v>
      </c>
      <c r="I17" s="5">
        <f>+(1-EXP($B17*(-0.0119195)))*100</f>
        <v>0</v>
      </c>
      <c r="J17" s="1">
        <v>0</v>
      </c>
      <c r="K17" s="5">
        <f>+(1-EXP($B17*(-0.012852)))*100</f>
        <v>0</v>
      </c>
      <c r="L17" s="1">
        <v>0</v>
      </c>
      <c r="M17" s="6">
        <f>+(1-EXP($B17*(-0.0113763)))*100</f>
        <v>0</v>
      </c>
      <c r="N17" s="1">
        <v>0</v>
      </c>
      <c r="O17" s="5">
        <f>+(1-EXP($B17*(-0.0124013)))*100</f>
        <v>0</v>
      </c>
      <c r="P17" s="1">
        <v>0</v>
      </c>
      <c r="Q17" s="5">
        <f>+(1-EXP($B17*(-0.0118577)))*100</f>
        <v>0</v>
      </c>
      <c r="R17" s="1">
        <v>0</v>
      </c>
      <c r="S17" s="5">
        <f>+(1-EXP($B17*(-0.0124248)))*100</f>
        <v>0</v>
      </c>
    </row>
    <row r="18" spans="1:19" ht="12.75">
      <c r="A18" s="8">
        <v>15</v>
      </c>
      <c r="B18" s="1">
        <v>7.194449125081008</v>
      </c>
      <c r="C18" s="5">
        <f aca="true" t="shared" si="10" ref="C18:C23">+(1-EXP($B18*(-0.0126085)))*100</f>
        <v>8.671858227770002</v>
      </c>
      <c r="D18" s="1">
        <v>9.828828310650238</v>
      </c>
      <c r="E18" s="5">
        <f t="shared" si="9"/>
        <v>7.912248466031557</v>
      </c>
      <c r="F18" s="1">
        <v>9.35572002592353</v>
      </c>
      <c r="G18" s="6">
        <f aca="true" t="shared" si="11" ref="G18:G23">+(1-EXP($B18*(-0.01179)))*100</f>
        <v>8.132471589459245</v>
      </c>
      <c r="H18" s="1">
        <v>9.685702696777014</v>
      </c>
      <c r="I18" s="5">
        <f aca="true" t="shared" si="12" ref="I18:I23">+(1-EXP($B18*(-0.0119195)))*100</f>
        <v>8.218022975555272</v>
      </c>
      <c r="J18" s="1">
        <v>9.040494043703879</v>
      </c>
      <c r="K18" s="5">
        <f aca="true" t="shared" si="13" ref="K18:K23">+(1-EXP($B18*(-0.012852)))*100</f>
        <v>8.831711223348005</v>
      </c>
      <c r="L18" s="1">
        <v>8.94357246217934</v>
      </c>
      <c r="M18" s="6">
        <f aca="true" t="shared" si="14" ref="M18:M23">+(1-EXP($B18*(-0.0113763)))*100</f>
        <v>7.8586349451257975</v>
      </c>
      <c r="N18" s="1">
        <v>8.695687877018884</v>
      </c>
      <c r="O18" s="5">
        <f aca="true" t="shared" si="15" ref="O18:O23">+(1-EXP($B18*(-0.0124013)))*100</f>
        <v>8.5356147698737</v>
      </c>
      <c r="P18" s="1">
        <v>10.070613608354412</v>
      </c>
      <c r="Q18" s="5">
        <f aca="true" t="shared" si="16" ref="Q18:Q23">+(1-EXP($B18*(-0.0118577)))*100</f>
        <v>8.177206079051702</v>
      </c>
      <c r="R18" s="1">
        <v>9.727885970033073</v>
      </c>
      <c r="S18" s="5">
        <f aca="true" t="shared" si="17" ref="S18:S23">+(1-EXP($B18*(-0.0124248)))*100</f>
        <v>8.551077305572797</v>
      </c>
    </row>
    <row r="19" spans="1:19" ht="12.75">
      <c r="A19" s="8">
        <v>30</v>
      </c>
      <c r="B19" s="1">
        <v>20.9713601749838</v>
      </c>
      <c r="C19" s="5">
        <f t="shared" si="10"/>
        <v>23.234694159114</v>
      </c>
      <c r="D19" s="1">
        <v>19.111514906027224</v>
      </c>
      <c r="E19" s="5">
        <f t="shared" si="9"/>
        <v>21.3586912345203</v>
      </c>
      <c r="F19" s="1">
        <v>18.788286779001943</v>
      </c>
      <c r="G19" s="6">
        <f t="shared" si="11"/>
        <v>21.905639188141702</v>
      </c>
      <c r="H19" s="1">
        <v>19.12008550756414</v>
      </c>
      <c r="I19" s="5">
        <f t="shared" si="12"/>
        <v>22.11743942873946</v>
      </c>
      <c r="J19" s="1">
        <v>23.65273989622158</v>
      </c>
      <c r="K19" s="5">
        <f t="shared" si="13"/>
        <v>23.625699016892888</v>
      </c>
      <c r="L19" s="1">
        <v>18.586627932470947</v>
      </c>
      <c r="M19" s="6">
        <f t="shared" si="14"/>
        <v>21.22515647960075</v>
      </c>
      <c r="N19" s="1">
        <v>19.77700525394046</v>
      </c>
      <c r="O19" s="5">
        <f t="shared" si="15"/>
        <v>22.900402732279947</v>
      </c>
      <c r="P19" s="1">
        <v>20.43899915677499</v>
      </c>
      <c r="Q19" s="5">
        <f t="shared" si="16"/>
        <v>22.01643585148355</v>
      </c>
      <c r="R19" s="1">
        <v>22.340059155477718</v>
      </c>
      <c r="S19" s="5">
        <f t="shared" si="17"/>
        <v>22.93839013135952</v>
      </c>
    </row>
    <row r="20" spans="1:19" ht="12.75">
      <c r="A20" s="8">
        <v>45</v>
      </c>
      <c r="B20" s="1">
        <v>35.00834818535321</v>
      </c>
      <c r="C20" s="5">
        <f t="shared" si="10"/>
        <v>35.686637287122295</v>
      </c>
      <c r="D20" s="1">
        <v>34.86003294448045</v>
      </c>
      <c r="E20" s="5">
        <f t="shared" si="9"/>
        <v>33.04153249747983</v>
      </c>
      <c r="F20" s="1">
        <v>34.98614889825016</v>
      </c>
      <c r="G20" s="6">
        <f t="shared" si="11"/>
        <v>33.81712386129968</v>
      </c>
      <c r="H20" s="1">
        <v>32.15398158298619</v>
      </c>
      <c r="I20" s="5">
        <f t="shared" si="12"/>
        <v>34.116490183546944</v>
      </c>
      <c r="J20" s="1">
        <v>40.79550829496455</v>
      </c>
      <c r="K20" s="5">
        <f t="shared" si="13"/>
        <v>36.23254853097729</v>
      </c>
      <c r="L20" s="1">
        <v>31.787212014909016</v>
      </c>
      <c r="M20" s="6">
        <f t="shared" si="14"/>
        <v>32.851625577216566</v>
      </c>
      <c r="N20" s="1">
        <v>37.202909126289164</v>
      </c>
      <c r="O20" s="5">
        <f t="shared" si="15"/>
        <v>35.218429461516074</v>
      </c>
      <c r="P20" s="1">
        <v>33.91478822079523</v>
      </c>
      <c r="Q20" s="5">
        <f t="shared" si="16"/>
        <v>33.973795856270996</v>
      </c>
      <c r="R20" s="1">
        <v>38.514747616267755</v>
      </c>
      <c r="S20" s="5">
        <f t="shared" si="17"/>
        <v>35.27170309527278</v>
      </c>
    </row>
    <row r="21" spans="1:19" ht="12.75">
      <c r="A21" s="8">
        <v>60</v>
      </c>
      <c r="B21" s="1">
        <v>51.48475453661698</v>
      </c>
      <c r="C21" s="5">
        <f t="shared" si="10"/>
        <v>47.75079588849801</v>
      </c>
      <c r="D21" s="1">
        <v>42.955934057031754</v>
      </c>
      <c r="E21" s="5">
        <f t="shared" si="9"/>
        <v>44.560127432601206</v>
      </c>
      <c r="F21" s="1">
        <v>45.792500648088144</v>
      </c>
      <c r="G21" s="6">
        <f t="shared" si="11"/>
        <v>45.50194952102724</v>
      </c>
      <c r="H21" s="1">
        <v>49.67486735365052</v>
      </c>
      <c r="I21" s="5">
        <f t="shared" si="12"/>
        <v>45.8640944478049</v>
      </c>
      <c r="J21" s="1">
        <v>51.46398742965723</v>
      </c>
      <c r="K21" s="5">
        <f t="shared" si="13"/>
        <v>48.401731244044456</v>
      </c>
      <c r="L21" s="1">
        <v>44.358830958123214</v>
      </c>
      <c r="M21" s="6">
        <f t="shared" si="14"/>
        <v>44.328732337482776</v>
      </c>
      <c r="N21" s="1">
        <v>55.87054096127651</v>
      </c>
      <c r="O21" s="5">
        <f t="shared" si="15"/>
        <v>47.19043658721587</v>
      </c>
      <c r="P21" s="1">
        <v>47.285859116559635</v>
      </c>
      <c r="Q21" s="5">
        <f t="shared" si="16"/>
        <v>45.69157279088877</v>
      </c>
      <c r="R21" s="1">
        <v>50.57546331971201</v>
      </c>
      <c r="S21" s="5">
        <f t="shared" si="17"/>
        <v>47.25429180459971</v>
      </c>
    </row>
    <row r="22" spans="1:19" ht="12.75">
      <c r="A22" s="8">
        <v>75</v>
      </c>
      <c r="B22" s="1">
        <v>71.08763204795852</v>
      </c>
      <c r="C22" s="5">
        <f t="shared" si="10"/>
        <v>59.19266774845931</v>
      </c>
      <c r="D22" s="1">
        <v>65.03339841218406</v>
      </c>
      <c r="E22" s="5">
        <f t="shared" si="9"/>
        <v>55.712389374264816</v>
      </c>
      <c r="F22" s="1">
        <v>67.3434092676604</v>
      </c>
      <c r="G22" s="6">
        <f t="shared" si="11"/>
        <v>56.747847360854806</v>
      </c>
      <c r="H22" s="1">
        <v>68.06207191405393</v>
      </c>
      <c r="I22" s="5">
        <f t="shared" si="12"/>
        <v>57.14419297097133</v>
      </c>
      <c r="J22" s="1">
        <v>68.15165460790763</v>
      </c>
      <c r="K22" s="5">
        <f t="shared" si="13"/>
        <v>59.89295763741477</v>
      </c>
      <c r="L22" s="1">
        <v>65.08170971278228</v>
      </c>
      <c r="M22" s="6">
        <f t="shared" si="14"/>
        <v>55.456958006016244</v>
      </c>
      <c r="N22" s="1">
        <v>63.28949017318544</v>
      </c>
      <c r="O22" s="5">
        <f t="shared" si="15"/>
        <v>58.58715349826915</v>
      </c>
      <c r="P22" s="1">
        <v>66.77149704871246</v>
      </c>
      <c r="Q22" s="5">
        <f t="shared" si="16"/>
        <v>56.95550399618588</v>
      </c>
      <c r="R22" s="1">
        <v>66.66208133878186</v>
      </c>
      <c r="S22" s="5">
        <f t="shared" si="17"/>
        <v>58.65627836166274</v>
      </c>
    </row>
    <row r="23" spans="1:19" ht="12.75">
      <c r="A23" s="8">
        <v>90</v>
      </c>
      <c r="B23" s="1">
        <v>78.48632290991574</v>
      </c>
      <c r="C23" s="5">
        <f t="shared" si="10"/>
        <v>62.82727164903342</v>
      </c>
      <c r="D23" s="1">
        <v>76.89073585007561</v>
      </c>
      <c r="E23" s="5">
        <f t="shared" si="9"/>
        <v>59.3118584679764</v>
      </c>
      <c r="F23" s="1">
        <v>77.05081723914452</v>
      </c>
      <c r="G23" s="6">
        <f t="shared" si="11"/>
        <v>60.3608827960245</v>
      </c>
      <c r="H23" s="1">
        <v>76.39137250602938</v>
      </c>
      <c r="I23" s="5">
        <f t="shared" si="12"/>
        <v>60.76173337434489</v>
      </c>
      <c r="J23" s="1">
        <v>76.9353526273478</v>
      </c>
      <c r="K23" s="5">
        <f t="shared" si="13"/>
        <v>63.530949698190156</v>
      </c>
      <c r="L23" s="1">
        <v>77.63359657969742</v>
      </c>
      <c r="M23" s="6">
        <f t="shared" si="14"/>
        <v>59.0526853978373</v>
      </c>
      <c r="N23" s="1">
        <v>77.49693325549718</v>
      </c>
      <c r="O23" s="5">
        <f t="shared" si="15"/>
        <v>62.21781294271788</v>
      </c>
      <c r="P23" s="1">
        <v>76.5307238762405</v>
      </c>
      <c r="Q23" s="5">
        <f t="shared" si="16"/>
        <v>60.57094761257693</v>
      </c>
      <c r="R23" s="1">
        <v>76.17287721346567</v>
      </c>
      <c r="S23" s="5">
        <f t="shared" si="17"/>
        <v>62.28743526222227</v>
      </c>
    </row>
    <row r="24" spans="1:19" ht="14.25">
      <c r="A24" s="18" t="s">
        <v>19</v>
      </c>
      <c r="B24" s="19"/>
      <c r="C24" s="19">
        <v>0.911</v>
      </c>
      <c r="D24" s="19"/>
      <c r="E24" s="19">
        <v>0.912</v>
      </c>
      <c r="F24" s="19"/>
      <c r="G24" s="20">
        <v>0.912</v>
      </c>
      <c r="H24" s="19"/>
      <c r="I24" s="19">
        <v>0.913</v>
      </c>
      <c r="J24" s="19"/>
      <c r="K24" s="19">
        <v>0.947</v>
      </c>
      <c r="L24" s="19"/>
      <c r="M24" s="20">
        <v>0.902</v>
      </c>
      <c r="N24" s="19"/>
      <c r="O24" s="19">
        <v>0.931</v>
      </c>
      <c r="P24" s="19"/>
      <c r="Q24" s="19">
        <v>0.923</v>
      </c>
      <c r="R24" s="19"/>
      <c r="S24" s="19">
        <v>0.946</v>
      </c>
    </row>
  </sheetData>
  <sheetProtection/>
  <mergeCells count="11">
    <mergeCell ref="A2:S2"/>
    <mergeCell ref="A3:S3"/>
    <mergeCell ref="A4:A5"/>
    <mergeCell ref="B4:G4"/>
    <mergeCell ref="H4:M4"/>
    <mergeCell ref="N4:S4"/>
    <mergeCell ref="A14:R14"/>
    <mergeCell ref="A15:A16"/>
    <mergeCell ref="B15:G15"/>
    <mergeCell ref="H15:M15"/>
    <mergeCell ref="N15:S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DR.Mohalkar</dc:creator>
  <cp:keywords/>
  <dc:description/>
  <cp:lastModifiedBy>Couts, Jeffrey S.</cp:lastModifiedBy>
  <dcterms:created xsi:type="dcterms:W3CDTF">2011-09-10T06:35:49Z</dcterms:created>
  <dcterms:modified xsi:type="dcterms:W3CDTF">2012-07-05T13:24:19Z</dcterms:modified>
  <cp:category/>
  <cp:version/>
  <cp:contentType/>
  <cp:contentStatus/>
</cp:coreProperties>
</file>