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8436" windowHeight="6312" activeTab="0"/>
  </bookViews>
  <sheets>
    <sheet name="Equations" sheetId="1" r:id="rId1"/>
    <sheet name="Equations-Protected" sheetId="2" r:id="rId2"/>
    <sheet name="Sheet1" sheetId="3" r:id="rId3"/>
    <sheet name="Sheet2" sheetId="4" r:id="rId4"/>
    <sheet name="Sheet3" sheetId="5" r:id="rId5"/>
  </sheets>
  <definedNames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'Equations'!$AS$19</definedName>
    <definedName name="solver_opt" localSheetId="1" hidden="1">'Equations-Protected'!$AS$19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<sst xmlns="http://schemas.openxmlformats.org/spreadsheetml/2006/main" count="608" uniqueCount="153">
  <si>
    <t>SAXTON-RAWLS EQUATION SOLUTIONS FOR SOIL WATER CHARACTERISTICS</t>
  </si>
  <si>
    <t>Equations developed by Dr. Keith Saxton, 10 -15-04: Added 33 Comp, gravel, salinity</t>
  </si>
  <si>
    <t>01-15-05:  Added 1500 and Bubb. Comp.</t>
  </si>
  <si>
    <t>Sat</t>
  </si>
  <si>
    <t>EXAMPLE TENSION AND UNSATURATED CONDUCTIVITY GRAPHS TO FAR RIGHT</t>
  </si>
  <si>
    <t>Equations derived from Rawls A-Only horiz 2003 NRCS data</t>
  </si>
  <si>
    <t>Tension=A*Moist^-B</t>
  </si>
  <si>
    <t>Tension=A*Moist^-B + Salinity</t>
  </si>
  <si>
    <t>SOIL: &gt;</t>
  </si>
  <si>
    <t>Moist.</t>
  </si>
  <si>
    <t>INPUTS</t>
  </si>
  <si>
    <t>OUTPUTS</t>
  </si>
  <si>
    <t>MODEL COMPUTATIONS</t>
  </si>
  <si>
    <t>Adj.</t>
  </si>
  <si>
    <t>Saturation</t>
  </si>
  <si>
    <t>Density</t>
  </si>
  <si>
    <t>Porosity</t>
  </si>
  <si>
    <t>Moist 33</t>
  </si>
  <si>
    <t>Porosity-</t>
  </si>
  <si>
    <t xml:space="preserve">Gravel </t>
  </si>
  <si>
    <t xml:space="preserve">Tension </t>
  </si>
  <si>
    <t>Unsaturated Cond. SiL(20,20, OM=2.5)</t>
  </si>
  <si>
    <t>Total Smpls:&gt;</t>
  </si>
  <si>
    <t>Gravels</t>
  </si>
  <si>
    <t>Salinity</t>
  </si>
  <si>
    <t>1500 kPa</t>
  </si>
  <si>
    <t>33 kPa</t>
  </si>
  <si>
    <t>0 kPa</t>
  </si>
  <si>
    <t>Plant</t>
  </si>
  <si>
    <t>Matric Den.</t>
  </si>
  <si>
    <t>10 kPa</t>
  </si>
  <si>
    <t xml:space="preserve">Bulk </t>
  </si>
  <si>
    <t>Pred</t>
  </si>
  <si>
    <t>Adj. Pred</t>
  </si>
  <si>
    <t>poros-</t>
  </si>
  <si>
    <t>por-33+</t>
  </si>
  <si>
    <t>Sand Adj.</t>
  </si>
  <si>
    <t>w/om</t>
  </si>
  <si>
    <t>w/comp</t>
  </si>
  <si>
    <t>OM +</t>
  </si>
  <si>
    <t>change by</t>
  </si>
  <si>
    <t>w/comp.</t>
  </si>
  <si>
    <t>Lambda</t>
  </si>
  <si>
    <t>Red. Of</t>
  </si>
  <si>
    <t>Sat Cond.</t>
  </si>
  <si>
    <t>"B"</t>
  </si>
  <si>
    <t>"A"</t>
  </si>
  <si>
    <t>Bubbling</t>
  </si>
  <si>
    <t>"B"=</t>
  </si>
  <si>
    <t>Class No.</t>
  </si>
  <si>
    <t>Texture</t>
  </si>
  <si>
    <t>Number</t>
  </si>
  <si>
    <t>%</t>
  </si>
  <si>
    <t>Factor</t>
  </si>
  <si>
    <t>%w,g/cc</t>
  </si>
  <si>
    <t>dS/m</t>
  </si>
  <si>
    <t>Wilt Pt.</t>
  </si>
  <si>
    <t>Field Cap</t>
  </si>
  <si>
    <t xml:space="preserve">Avail </t>
  </si>
  <si>
    <t>Sat. Cond.</t>
  </si>
  <si>
    <t>%v</t>
  </si>
  <si>
    <t>Moist 1500</t>
  </si>
  <si>
    <t>Moist. 33</t>
  </si>
  <si>
    <t>Compact</t>
  </si>
  <si>
    <t>Comp</t>
  </si>
  <si>
    <t>mm/hr</t>
  </si>
  <si>
    <t>Press.</t>
  </si>
  <si>
    <t>Press., Adj.</t>
  </si>
  <si>
    <t>Clay</t>
  </si>
  <si>
    <t>Gravel Summary</t>
  </si>
  <si>
    <t>Samples</t>
  </si>
  <si>
    <t>Texture Class Summary of A Horizon Data</t>
  </si>
  <si>
    <t>g/cc</t>
  </si>
  <si>
    <t>#1, %v</t>
  </si>
  <si>
    <t>Adj, %v</t>
  </si>
  <si>
    <t>#1</t>
  </si>
  <si>
    <t>kPa</t>
  </si>
  <si>
    <t>DF=&gt;</t>
  </si>
  <si>
    <t>S=20, C=20, OM=2.5</t>
  </si>
  <si>
    <t>SOIL  FOR GRAPHS: &gt;</t>
  </si>
  <si>
    <t>Moist/Sat</t>
  </si>
  <si>
    <t>Cond, mm/hr</t>
  </si>
  <si>
    <t>%w</t>
  </si>
  <si>
    <t>Blk. Den</t>
  </si>
  <si>
    <t>Ks</t>
  </si>
  <si>
    <t>Sat. Moist.&gt;</t>
  </si>
  <si>
    <t>"A" Value</t>
  </si>
  <si>
    <t>"B" Value</t>
  </si>
  <si>
    <t>Sat Cond., mm/hr</t>
  </si>
  <si>
    <t>Bubling Pres, kPa</t>
  </si>
  <si>
    <t>Available Moist (PAW)</t>
  </si>
  <si>
    <t>Salinity ECU:</t>
  </si>
  <si>
    <t>Selected for Graphing/Examples: &gt;</t>
  </si>
  <si>
    <t>Matric. Den.</t>
  </si>
  <si>
    <t>Den/2.65</t>
  </si>
  <si>
    <t>Gravel, %v</t>
  </si>
  <si>
    <t>PAW-Bulk</t>
  </si>
  <si>
    <t>Sat Cond, Blk.</t>
  </si>
  <si>
    <t>Not Calc</t>
  </si>
  <si>
    <t>S</t>
  </si>
  <si>
    <t>C</t>
  </si>
  <si>
    <t>Meas. Den.</t>
  </si>
  <si>
    <t>Sand</t>
  </si>
  <si>
    <t>Org Mat</t>
  </si>
  <si>
    <t>DF</t>
  </si>
  <si>
    <t>Gravel</t>
  </si>
  <si>
    <t>OM</t>
  </si>
  <si>
    <t>Eample Data:  &gt;&gt;</t>
  </si>
  <si>
    <t>Tension &amp; Cond. Graphs</t>
  </si>
  <si>
    <t>Den</t>
  </si>
  <si>
    <t>S-L</t>
  </si>
  <si>
    <t>Si-L</t>
  </si>
  <si>
    <t>C-L</t>
  </si>
  <si>
    <t>Si-C Loam</t>
  </si>
  <si>
    <t>OM Effect Calcs:</t>
  </si>
  <si>
    <t>OM=&gt;</t>
  </si>
  <si>
    <t>Available Moist</t>
  </si>
  <si>
    <t>Copy to Col. "I"</t>
  </si>
  <si>
    <t>Unsaturated Conductivity</t>
  </si>
  <si>
    <t>(1.0 = Normal)</t>
  </si>
  <si>
    <t>Avg.</t>
  </si>
  <si>
    <t>Loamy Sand</t>
  </si>
  <si>
    <t>Sandy Loam</t>
  </si>
  <si>
    <t xml:space="preserve">Loam </t>
  </si>
  <si>
    <t>Silty Loam</t>
  </si>
  <si>
    <t xml:space="preserve">Silt </t>
  </si>
  <si>
    <t>Sandy Caly Loam</t>
  </si>
  <si>
    <t>Clay Loam</t>
  </si>
  <si>
    <t>Silty Clay Loam</t>
  </si>
  <si>
    <t xml:space="preserve">silty Clay  </t>
  </si>
  <si>
    <t xml:space="preserve">Clay  </t>
  </si>
  <si>
    <t>Dec. %</t>
  </si>
  <si>
    <t>Org matter</t>
  </si>
  <si>
    <t>Optional Inputs</t>
  </si>
  <si>
    <t>TENSION AND UNSATURATED CONDUCTIVITY GRAPHS EXAMPLES</t>
  </si>
  <si>
    <t>For additional Calculations:  Coplete Columns 40F-J with data.  Copy line 40M-AR. Paste equations to all data lines data.</t>
  </si>
  <si>
    <t>Computed. DF</t>
  </si>
  <si>
    <t>Enter</t>
  </si>
  <si>
    <t xml:space="preserve">Sa </t>
  </si>
  <si>
    <t>LSa</t>
  </si>
  <si>
    <t xml:space="preserve">SaL </t>
  </si>
  <si>
    <t xml:space="preserve">L </t>
  </si>
  <si>
    <t xml:space="preserve">SiL </t>
  </si>
  <si>
    <t>Si</t>
  </si>
  <si>
    <t xml:space="preserve">SaCL </t>
  </si>
  <si>
    <t xml:space="preserve">CL </t>
  </si>
  <si>
    <t xml:space="preserve">SiCL </t>
  </si>
  <si>
    <t xml:space="preserve">SiC </t>
  </si>
  <si>
    <t xml:space="preserve">SaC </t>
  </si>
  <si>
    <t xml:space="preserve">C </t>
  </si>
  <si>
    <t>&lt;33 kPa</t>
  </si>
  <si>
    <t>&gt;Air Entry</t>
  </si>
  <si>
    <t>10-02-05:  Revised Moist33 Compaction to 0.2*Sat Compaction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</si>
</sst>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&quot;$&quot;#,##0.000"/>
    <numFmt numFmtId="169" formatCode="#,##0.000"/>
    <numFmt numFmtId="170" formatCode="&quot;$&quot;#,##0.00"/>
    <numFmt numFmtId="171" formatCode="0.000000"/>
    <numFmt numFmtId="172" formatCode="0.000000000000000"/>
    <numFmt numFmtId="173" formatCode="0.0000000000000"/>
    <numFmt numFmtId="174" formatCode="0.00000000"/>
    <numFmt numFmtId="175" formatCode="0.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0.25"/>
      <name val="Arial"/>
      <family val="2"/>
    </font>
    <font>
      <b/>
      <sz val="13.75"/>
      <name val="Arial"/>
      <family val="2"/>
    </font>
    <font>
      <sz val="11.25"/>
      <name val="Arial"/>
      <family val="0"/>
    </font>
    <font>
      <b/>
      <sz val="11.75"/>
      <name val="Arial"/>
      <family val="2"/>
    </font>
    <font>
      <b/>
      <sz val="20.25"/>
      <name val="Arial"/>
      <family val="2"/>
    </font>
    <font>
      <b/>
      <sz val="17.25"/>
      <name val="Arial"/>
      <family val="2"/>
    </font>
    <font>
      <sz val="15"/>
      <name val="Arial"/>
      <family val="0"/>
    </font>
    <font>
      <b/>
      <sz val="15"/>
      <name val="Arial"/>
      <family val="2"/>
    </font>
    <font>
      <b/>
      <sz val="14.75"/>
      <name val="Arial"/>
      <family val="2"/>
    </font>
    <font>
      <sz val="15.75"/>
      <name val="Arial"/>
      <family val="0"/>
    </font>
    <font>
      <b/>
      <sz val="15.75"/>
      <name val="Arial"/>
      <family val="2"/>
    </font>
    <font>
      <b/>
      <sz val="17.5"/>
      <name val="Arial"/>
      <family val="2"/>
    </font>
    <font>
      <b/>
      <sz val="17"/>
      <name val="Arial"/>
      <family val="2"/>
    </font>
    <font>
      <sz val="16.75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7" fillId="4" borderId="0" xfId="0" applyFont="1" applyFill="1" applyAlignment="1">
      <alignment/>
    </xf>
    <xf numFmtId="0" fontId="4" fillId="4" borderId="0" xfId="0" applyFont="1" applyFill="1" applyAlignment="1">
      <alignment/>
    </xf>
    <xf numFmtId="10" fontId="4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5" borderId="0" xfId="0" applyFont="1" applyFill="1" applyAlignment="1">
      <alignment/>
    </xf>
    <xf numFmtId="0" fontId="7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7" fillId="0" borderId="0" xfId="0" applyFont="1" applyAlignment="1">
      <alignment horizontal="right"/>
    </xf>
    <xf numFmtId="0" fontId="4" fillId="7" borderId="0" xfId="0" applyFont="1" applyFill="1" applyAlignment="1">
      <alignment/>
    </xf>
    <xf numFmtId="0" fontId="7" fillId="7" borderId="0" xfId="0" applyFont="1" applyFill="1" applyAlignment="1">
      <alignment/>
    </xf>
    <xf numFmtId="0" fontId="4" fillId="8" borderId="0" xfId="0" applyFont="1" applyFill="1" applyAlignment="1">
      <alignment/>
    </xf>
    <xf numFmtId="0" fontId="7" fillId="8" borderId="0" xfId="0" applyFont="1" applyFill="1" applyAlignment="1">
      <alignment/>
    </xf>
    <xf numFmtId="0" fontId="4" fillId="9" borderId="0" xfId="0" applyFont="1" applyFill="1" applyAlignment="1">
      <alignment/>
    </xf>
    <xf numFmtId="0" fontId="7" fillId="9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10" borderId="0" xfId="0" applyFont="1" applyFill="1" applyAlignment="1">
      <alignment/>
    </xf>
    <xf numFmtId="2" fontId="4" fillId="10" borderId="0" xfId="0" applyNumberFormat="1" applyFont="1" applyFill="1" applyAlignment="1">
      <alignment/>
    </xf>
    <xf numFmtId="164" fontId="4" fillId="10" borderId="0" xfId="0" applyNumberFormat="1" applyFont="1" applyFill="1" applyAlignment="1">
      <alignment/>
    </xf>
    <xf numFmtId="165" fontId="4" fillId="10" borderId="0" xfId="0" applyNumberFormat="1" applyFont="1" applyFill="1" applyAlignment="1">
      <alignment/>
    </xf>
    <xf numFmtId="11" fontId="4" fillId="0" borderId="0" xfId="0" applyNumberFormat="1" applyFont="1" applyAlignment="1">
      <alignment/>
    </xf>
    <xf numFmtId="2" fontId="4" fillId="11" borderId="0" xfId="0" applyNumberFormat="1" applyFont="1" applyFill="1" applyAlignment="1">
      <alignment/>
    </xf>
    <xf numFmtId="0" fontId="4" fillId="11" borderId="0" xfId="0" applyFont="1" applyFill="1" applyAlignment="1">
      <alignment/>
    </xf>
    <xf numFmtId="2" fontId="6" fillId="7" borderId="0" xfId="0" applyNumberFormat="1" applyFont="1" applyFill="1" applyAlignment="1">
      <alignment/>
    </xf>
    <xf numFmtId="2" fontId="6" fillId="11" borderId="0" xfId="0" applyNumberFormat="1" applyFont="1" applyFill="1" applyAlignment="1">
      <alignment/>
    </xf>
    <xf numFmtId="0" fontId="6" fillId="7" borderId="0" xfId="0" applyFont="1" applyFill="1" applyAlignment="1">
      <alignment/>
    </xf>
    <xf numFmtId="0" fontId="6" fillId="7" borderId="0" xfId="0" applyFont="1" applyFill="1" applyAlignment="1">
      <alignment horizontal="center"/>
    </xf>
    <xf numFmtId="0" fontId="6" fillId="11" borderId="0" xfId="0" applyFont="1" applyFill="1" applyAlignment="1">
      <alignment/>
    </xf>
    <xf numFmtId="17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1" fontId="4" fillId="0" borderId="0" xfId="0" applyNumberFormat="1" applyFont="1" applyAlignment="1">
      <alignment horizontal="center"/>
    </xf>
    <xf numFmtId="0" fontId="8" fillId="0" borderId="0" xfId="0" applyFont="1" applyAlignment="1">
      <alignment horizontal="right" vertical="top" wrapText="1"/>
    </xf>
    <xf numFmtId="0" fontId="6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6" fillId="6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12" borderId="0" xfId="0" applyFont="1" applyFill="1" applyAlignment="1">
      <alignment/>
    </xf>
    <xf numFmtId="0" fontId="4" fillId="12" borderId="0" xfId="0" applyFont="1" applyFill="1" applyAlignment="1">
      <alignment/>
    </xf>
    <xf numFmtId="0" fontId="23" fillId="7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2" fontId="24" fillId="0" borderId="0" xfId="0" applyNumberFormat="1" applyFont="1" applyAlignment="1">
      <alignment/>
    </xf>
    <xf numFmtId="0" fontId="25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Salinity Effects on Tension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Equations!$CA$15:$CA$44</c:f>
              <c:numCache>
                <c:ptCount val="30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  <c:pt idx="23">
                  <c:v>19</c:v>
                </c:pt>
                <c:pt idx="24">
                  <c:v>18</c:v>
                </c:pt>
                <c:pt idx="25">
                  <c:v>17</c:v>
                </c:pt>
                <c:pt idx="26">
                  <c:v>16</c:v>
                </c:pt>
                <c:pt idx="27">
                  <c:v>15</c:v>
                </c:pt>
                <c:pt idx="28">
                  <c:v>14</c:v>
                </c:pt>
                <c:pt idx="29">
                  <c:v>13</c:v>
                </c:pt>
              </c:numCache>
            </c:numRef>
          </c:xVal>
          <c:yVal>
            <c:numRef>
              <c:f>Equations!$CB$15:$CB$44</c:f>
              <c:numCache>
                <c:ptCount val="30"/>
                <c:pt idx="12">
                  <c:v>14.502004662177464</c:v>
                </c:pt>
                <c:pt idx="13">
                  <c:v>16.229850331793806</c:v>
                </c:pt>
                <c:pt idx="14">
                  <c:v>18.274468559432222</c:v>
                </c:pt>
                <c:pt idx="15">
                  <c:v>20.716726985240378</c:v>
                </c:pt>
                <c:pt idx="16">
                  <c:v>23.664704921007893</c:v>
                </c:pt>
                <c:pt idx="17">
                  <c:v>27.26536355655754</c:v>
                </c:pt>
                <c:pt idx="18">
                  <c:v>31.722458108585137</c:v>
                </c:pt>
                <c:pt idx="19">
                  <c:v>37.32479735054067</c:v>
                </c:pt>
                <c:pt idx="20">
                  <c:v>44.49224766923059</c:v>
                </c:pt>
                <c:pt idx="21">
                  <c:v>53.85337356680142</c:v>
                </c:pt>
                <c:pt idx="22">
                  <c:v>66.3820840647013</c:v>
                </c:pt>
                <c:pt idx="23">
                  <c:v>74.29119726409539</c:v>
                </c:pt>
                <c:pt idx="24">
                  <c:v>83.65031844968567</c:v>
                </c:pt>
                <c:pt idx="25">
                  <c:v>94.82961454745565</c:v>
                </c:pt>
                <c:pt idx="26">
                  <c:v>108.32381232987588</c:v>
                </c:pt>
                <c:pt idx="27">
                  <c:v>124.80561810785443</c:v>
                </c:pt>
                <c:pt idx="28">
                  <c:v>145.20770955171378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Equations!$CA$15:$CA$44</c:f>
              <c:numCache>
                <c:ptCount val="30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  <c:pt idx="23">
                  <c:v>19</c:v>
                </c:pt>
                <c:pt idx="24">
                  <c:v>18</c:v>
                </c:pt>
                <c:pt idx="25">
                  <c:v>17</c:v>
                </c:pt>
                <c:pt idx="26">
                  <c:v>16</c:v>
                </c:pt>
                <c:pt idx="27">
                  <c:v>15</c:v>
                </c:pt>
                <c:pt idx="28">
                  <c:v>14</c:v>
                </c:pt>
                <c:pt idx="29">
                  <c:v>13</c:v>
                </c:pt>
              </c:numCache>
            </c:numRef>
          </c:xVal>
          <c:yVal>
            <c:numRef>
              <c:f>Equations!$CC$15:$CC$44</c:f>
              <c:numCache>
                <c:ptCount val="30"/>
                <c:pt idx="12">
                  <c:v>15.447162600450485</c:v>
                </c:pt>
                <c:pt idx="13">
                  <c:v>18.997377754084948</c:v>
                </c:pt>
                <c:pt idx="14">
                  <c:v>23.626391061366206</c:v>
                </c:pt>
                <c:pt idx="15">
                  <c:v>29.751963103559824</c:v>
                </c:pt>
                <c:pt idx="16">
                  <c:v>37.99314531617837</c:v>
                </c:pt>
                <c:pt idx="17">
                  <c:v>49.28904762287019</c:v>
                </c:pt>
                <c:pt idx="18">
                  <c:v>65.1025216250145</c:v>
                </c:pt>
                <c:pt idx="19">
                  <c:v>87.78185727344554</c:v>
                </c:pt>
                <c:pt idx="20">
                  <c:v>121.22912131300605</c:v>
                </c:pt>
                <c:pt idx="21">
                  <c:v>172.19297006115593</c:v>
                </c:pt>
                <c:pt idx="22">
                  <c:v>252.90650265440664</c:v>
                </c:pt>
                <c:pt idx="23">
                  <c:v>311.0319022116163</c:v>
                </c:pt>
                <c:pt idx="24">
                  <c:v>386.81977319907287</c:v>
                </c:pt>
                <c:pt idx="25">
                  <c:v>487.1098421275654</c:v>
                </c:pt>
                <c:pt idx="26">
                  <c:v>622.0374417807385</c:v>
                </c:pt>
                <c:pt idx="27">
                  <c:v>806.9780176395027</c:v>
                </c:pt>
                <c:pt idx="28">
                  <c:v>1065.8819023297606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Equations!$CA$15:$CA$44</c:f>
              <c:numCache>
                <c:ptCount val="30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  <c:pt idx="23">
                  <c:v>19</c:v>
                </c:pt>
                <c:pt idx="24">
                  <c:v>18</c:v>
                </c:pt>
                <c:pt idx="25">
                  <c:v>17</c:v>
                </c:pt>
                <c:pt idx="26">
                  <c:v>16</c:v>
                </c:pt>
                <c:pt idx="27">
                  <c:v>15</c:v>
                </c:pt>
                <c:pt idx="28">
                  <c:v>14</c:v>
                </c:pt>
                <c:pt idx="29">
                  <c:v>13</c:v>
                </c:pt>
              </c:numCache>
            </c:numRef>
          </c:xVal>
          <c:yVal>
            <c:numRef>
              <c:f>Equations!$CD$15:$CD$44</c:f>
              <c:numCache>
                <c:ptCount val="30"/>
                <c:pt idx="12">
                  <c:v>13.56524194379315</c:v>
                </c:pt>
                <c:pt idx="13">
                  <c:v>19.374192735367856</c:v>
                </c:pt>
                <c:pt idx="14">
                  <c:v>28.209215945160793</c:v>
                </c:pt>
                <c:pt idx="15">
                  <c:v>41.96499801349002</c:v>
                </c:pt>
                <c:pt idx="16">
                  <c:v>63.95049859967763</c:v>
                </c:pt>
                <c:pt idx="17">
                  <c:v>100.14107978969797</c:v>
                </c:pt>
                <c:pt idx="18">
                  <c:v>161.74215254443058</c:v>
                </c:pt>
                <c:pt idx="19">
                  <c:v>270.6891410554544</c:v>
                </c:pt>
                <c:pt idx="20">
                  <c:v>472.0941955474294</c:v>
                </c:pt>
                <c:pt idx="21">
                  <c:v>864.2053850921321</c:v>
                </c:pt>
                <c:pt idx="22">
                  <c:v>1675.9070013315416</c:v>
                </c:pt>
                <c:pt idx="23">
                  <c:v>2393.569195808273</c:v>
                </c:pt>
                <c:pt idx="24">
                  <c:v>3485.0850947188364</c:v>
                </c:pt>
                <c:pt idx="25">
                  <c:v>5184.532223831936</c:v>
                </c:pt>
                <c:pt idx="26">
                  <c:v>7900.713366257447</c:v>
                </c:pt>
                <c:pt idx="27">
                  <c:v>12371.849867170644</c:v>
                </c:pt>
                <c:pt idx="28">
                  <c:v>19982.305290446577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Equations!$CA$15:$CA$44</c:f>
              <c:numCache>
                <c:ptCount val="30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  <c:pt idx="23">
                  <c:v>19</c:v>
                </c:pt>
                <c:pt idx="24">
                  <c:v>18</c:v>
                </c:pt>
                <c:pt idx="25">
                  <c:v>17</c:v>
                </c:pt>
                <c:pt idx="26">
                  <c:v>16</c:v>
                </c:pt>
                <c:pt idx="27">
                  <c:v>15</c:v>
                </c:pt>
                <c:pt idx="28">
                  <c:v>14</c:v>
                </c:pt>
                <c:pt idx="29">
                  <c:v>13</c:v>
                </c:pt>
              </c:numCache>
            </c:numRef>
          </c:xVal>
          <c:yVal>
            <c:numRef>
              <c:f>Equations!$CE$15:$CE$44</c:f>
              <c:numCache>
                <c:ptCount val="30"/>
                <c:pt idx="12">
                  <c:v>91.43364677512905</c:v>
                </c:pt>
                <c:pt idx="13">
                  <c:v>171.83758660439585</c:v>
                </c:pt>
                <c:pt idx="14">
                  <c:v>334.15563229948543</c:v>
                </c:pt>
                <c:pt idx="15">
                  <c:v>674.9828821482191</c:v>
                </c:pt>
                <c:pt idx="16">
                  <c:v>1422.8314017845553</c:v>
                </c:pt>
                <c:pt idx="17">
                  <c:v>3147.1861344512204</c:v>
                </c:pt>
                <c:pt idx="18">
                  <c:v>7353.377246643343</c:v>
                </c:pt>
                <c:pt idx="19">
                  <c:v>18296.8558238306</c:v>
                </c:pt>
                <c:pt idx="20">
                  <c:v>48974.479497367916</c:v>
                </c:pt>
                <c:pt idx="21">
                  <c:v>142820.4107930285</c:v>
                </c:pt>
                <c:pt idx="22">
                  <c:v>461257.533669047</c:v>
                </c:pt>
                <c:pt idx="23">
                  <c:v>866873.237416852</c:v>
                </c:pt>
                <c:pt idx="24">
                  <c:v>1685723.0161140945</c:v>
                </c:pt>
                <c:pt idx="25">
                  <c:v>3405102.5029573822</c:v>
                </c:pt>
                <c:pt idx="26">
                  <c:v>7177792.053160637</c:v>
                </c:pt>
                <c:pt idx="27">
                  <c:v>15876686.160671214</c:v>
                </c:pt>
              </c:numCache>
            </c:numRef>
          </c:yVal>
          <c:smooth val="0"/>
        </c:ser>
        <c:axId val="30993395"/>
        <c:axId val="10505100"/>
      </c:scatterChart>
      <c:valAx>
        <c:axId val="30993395"/>
        <c:scaling>
          <c:orientation val="minMax"/>
          <c:max val="5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Moisture, %v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505100"/>
        <c:crossesAt val="10"/>
        <c:crossBetween val="midCat"/>
        <c:dispUnits/>
        <c:majorUnit val="5"/>
      </c:valAx>
      <c:valAx>
        <c:axId val="10505100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Tension, kPa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93395"/>
        <c:crosses val="autoZero"/>
        <c:crossBetween val="midCat"/>
        <c:dispUnits/>
        <c:majorUnit val="10"/>
        <c:minorUnit val="10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Moisture vrs. Tension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95"/>
          <c:w val="0.94575"/>
          <c:h val="0.84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'Equations-Protected'!$BD$24:$BD$50</c:f>
              <c:numCache>
                <c:ptCount val="27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  <c:pt idx="4">
                  <c:v>38</c:v>
                </c:pt>
                <c:pt idx="5">
                  <c:v>36</c:v>
                </c:pt>
                <c:pt idx="6">
                  <c:v>34</c:v>
                </c:pt>
                <c:pt idx="7">
                  <c:v>32</c:v>
                </c:pt>
                <c:pt idx="8">
                  <c:v>30</c:v>
                </c:pt>
                <c:pt idx="9">
                  <c:v>28</c:v>
                </c:pt>
                <c:pt idx="10">
                  <c:v>26</c:v>
                </c:pt>
                <c:pt idx="11">
                  <c:v>24</c:v>
                </c:pt>
                <c:pt idx="12">
                  <c:v>22</c:v>
                </c:pt>
                <c:pt idx="13">
                  <c:v>20</c:v>
                </c:pt>
                <c:pt idx="14">
                  <c:v>19</c:v>
                </c:pt>
                <c:pt idx="15">
                  <c:v>18</c:v>
                </c:pt>
                <c:pt idx="16">
                  <c:v>17</c:v>
                </c:pt>
                <c:pt idx="17">
                  <c:v>16</c:v>
                </c:pt>
                <c:pt idx="18">
                  <c:v>15</c:v>
                </c:pt>
                <c:pt idx="19">
                  <c:v>14</c:v>
                </c:pt>
                <c:pt idx="20">
                  <c:v>13</c:v>
                </c:pt>
                <c:pt idx="21">
                  <c:v>12</c:v>
                </c:pt>
                <c:pt idx="22">
                  <c:v>11</c:v>
                </c:pt>
                <c:pt idx="23">
                  <c:v>10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</c:numCache>
            </c:numRef>
          </c:xVal>
          <c:yVal>
            <c:numRef>
              <c:f>'Equations-Protected'!$BE$24:$BE$50</c:f>
              <c:numCache>
                <c:ptCount val="27"/>
                <c:pt idx="4">
                  <c:v>16.229850331793806</c:v>
                </c:pt>
                <c:pt idx="5">
                  <c:v>18.274468559432222</c:v>
                </c:pt>
                <c:pt idx="6">
                  <c:v>20.716726985240378</c:v>
                </c:pt>
                <c:pt idx="7">
                  <c:v>23.664704921007893</c:v>
                </c:pt>
                <c:pt idx="8">
                  <c:v>27.26536355655754</c:v>
                </c:pt>
                <c:pt idx="9">
                  <c:v>31.722458108585137</c:v>
                </c:pt>
                <c:pt idx="10">
                  <c:v>37.32479735054067</c:v>
                </c:pt>
                <c:pt idx="11">
                  <c:v>44.49224766923059</c:v>
                </c:pt>
                <c:pt idx="12">
                  <c:v>53.85337356680142</c:v>
                </c:pt>
                <c:pt idx="13">
                  <c:v>66.3820840647013</c:v>
                </c:pt>
                <c:pt idx="14">
                  <c:v>74.29119726409539</c:v>
                </c:pt>
                <c:pt idx="15">
                  <c:v>83.65031844968567</c:v>
                </c:pt>
                <c:pt idx="16">
                  <c:v>94.82961454745565</c:v>
                </c:pt>
                <c:pt idx="17">
                  <c:v>108.32381232987588</c:v>
                </c:pt>
                <c:pt idx="18">
                  <c:v>124.80561810785443</c:v>
                </c:pt>
                <c:pt idx="19">
                  <c:v>145.20770955171378</c:v>
                </c:pt>
                <c:pt idx="20">
                  <c:v>170.8520920479078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'Equations-Protected'!$BD$24:$BD$50</c:f>
              <c:numCache>
                <c:ptCount val="27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  <c:pt idx="4">
                  <c:v>38</c:v>
                </c:pt>
                <c:pt idx="5">
                  <c:v>36</c:v>
                </c:pt>
                <c:pt idx="6">
                  <c:v>34</c:v>
                </c:pt>
                <c:pt idx="7">
                  <c:v>32</c:v>
                </c:pt>
                <c:pt idx="8">
                  <c:v>30</c:v>
                </c:pt>
                <c:pt idx="9">
                  <c:v>28</c:v>
                </c:pt>
                <c:pt idx="10">
                  <c:v>26</c:v>
                </c:pt>
                <c:pt idx="11">
                  <c:v>24</c:v>
                </c:pt>
                <c:pt idx="12">
                  <c:v>22</c:v>
                </c:pt>
                <c:pt idx="13">
                  <c:v>20</c:v>
                </c:pt>
                <c:pt idx="14">
                  <c:v>19</c:v>
                </c:pt>
                <c:pt idx="15">
                  <c:v>18</c:v>
                </c:pt>
                <c:pt idx="16">
                  <c:v>17</c:v>
                </c:pt>
                <c:pt idx="17">
                  <c:v>16</c:v>
                </c:pt>
                <c:pt idx="18">
                  <c:v>15</c:v>
                </c:pt>
                <c:pt idx="19">
                  <c:v>14</c:v>
                </c:pt>
                <c:pt idx="20">
                  <c:v>13</c:v>
                </c:pt>
                <c:pt idx="21">
                  <c:v>12</c:v>
                </c:pt>
                <c:pt idx="22">
                  <c:v>11</c:v>
                </c:pt>
                <c:pt idx="23">
                  <c:v>10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</c:numCache>
            </c:numRef>
          </c:xVal>
          <c:yVal>
            <c:numRef>
              <c:f>'Equations-Protected'!$BF$24:$BF$50</c:f>
              <c:numCache>
                <c:ptCount val="27"/>
                <c:pt idx="3">
                  <c:v>15.447162600450485</c:v>
                </c:pt>
                <c:pt idx="4">
                  <c:v>18.997377754084948</c:v>
                </c:pt>
                <c:pt idx="5">
                  <c:v>23.626391061366206</c:v>
                </c:pt>
                <c:pt idx="6">
                  <c:v>29.751963103559824</c:v>
                </c:pt>
                <c:pt idx="7">
                  <c:v>37.99314531617837</c:v>
                </c:pt>
                <c:pt idx="8">
                  <c:v>49.28904762287019</c:v>
                </c:pt>
                <c:pt idx="9">
                  <c:v>65.1025216250145</c:v>
                </c:pt>
                <c:pt idx="10">
                  <c:v>87.78185727344554</c:v>
                </c:pt>
                <c:pt idx="11">
                  <c:v>121.22912131300605</c:v>
                </c:pt>
                <c:pt idx="12">
                  <c:v>172.19297006115593</c:v>
                </c:pt>
                <c:pt idx="13">
                  <c:v>252.90650265440664</c:v>
                </c:pt>
                <c:pt idx="14">
                  <c:v>311.0319022116163</c:v>
                </c:pt>
                <c:pt idx="15">
                  <c:v>386.81977319907287</c:v>
                </c:pt>
                <c:pt idx="16">
                  <c:v>487.1098421275654</c:v>
                </c:pt>
                <c:pt idx="17">
                  <c:v>622.0374417807385</c:v>
                </c:pt>
                <c:pt idx="18">
                  <c:v>806.9780176395027</c:v>
                </c:pt>
                <c:pt idx="19">
                  <c:v>1065.8819023297606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'Equations-Protected'!$BD$24:$BD$50</c:f>
              <c:numCache>
                <c:ptCount val="27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  <c:pt idx="4">
                  <c:v>38</c:v>
                </c:pt>
                <c:pt idx="5">
                  <c:v>36</c:v>
                </c:pt>
                <c:pt idx="6">
                  <c:v>34</c:v>
                </c:pt>
                <c:pt idx="7">
                  <c:v>32</c:v>
                </c:pt>
                <c:pt idx="8">
                  <c:v>30</c:v>
                </c:pt>
                <c:pt idx="9">
                  <c:v>28</c:v>
                </c:pt>
                <c:pt idx="10">
                  <c:v>26</c:v>
                </c:pt>
                <c:pt idx="11">
                  <c:v>24</c:v>
                </c:pt>
                <c:pt idx="12">
                  <c:v>22</c:v>
                </c:pt>
                <c:pt idx="13">
                  <c:v>20</c:v>
                </c:pt>
                <c:pt idx="14">
                  <c:v>19</c:v>
                </c:pt>
                <c:pt idx="15">
                  <c:v>18</c:v>
                </c:pt>
                <c:pt idx="16">
                  <c:v>17</c:v>
                </c:pt>
                <c:pt idx="17">
                  <c:v>16</c:v>
                </c:pt>
                <c:pt idx="18">
                  <c:v>15</c:v>
                </c:pt>
                <c:pt idx="19">
                  <c:v>14</c:v>
                </c:pt>
                <c:pt idx="20">
                  <c:v>13</c:v>
                </c:pt>
                <c:pt idx="21">
                  <c:v>12</c:v>
                </c:pt>
                <c:pt idx="22">
                  <c:v>11</c:v>
                </c:pt>
                <c:pt idx="23">
                  <c:v>10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</c:numCache>
            </c:numRef>
          </c:xVal>
          <c:yVal>
            <c:numRef>
              <c:f>'Equations-Protected'!$BG$24:$BG$50</c:f>
              <c:numCache>
                <c:ptCount val="27"/>
                <c:pt idx="1">
                  <c:v>6.995110783945304</c:v>
                </c:pt>
                <c:pt idx="2">
                  <c:v>9.664637590534824</c:v>
                </c:pt>
                <c:pt idx="3">
                  <c:v>13.56524194379315</c:v>
                </c:pt>
                <c:pt idx="4">
                  <c:v>19.374192735367856</c:v>
                </c:pt>
                <c:pt idx="5">
                  <c:v>28.209215945160793</c:v>
                </c:pt>
                <c:pt idx="6">
                  <c:v>41.96499801349002</c:v>
                </c:pt>
                <c:pt idx="7">
                  <c:v>63.95049859967763</c:v>
                </c:pt>
                <c:pt idx="8">
                  <c:v>100.14107978969797</c:v>
                </c:pt>
                <c:pt idx="9">
                  <c:v>161.74215254443058</c:v>
                </c:pt>
                <c:pt idx="10">
                  <c:v>270.6891410554544</c:v>
                </c:pt>
                <c:pt idx="11">
                  <c:v>472.0941955474294</c:v>
                </c:pt>
                <c:pt idx="12">
                  <c:v>864.2053850921321</c:v>
                </c:pt>
                <c:pt idx="13">
                  <c:v>1675.9070013315416</c:v>
                </c:pt>
                <c:pt idx="14">
                  <c:v>2393.569195808273</c:v>
                </c:pt>
                <c:pt idx="15">
                  <c:v>3485.0850947188364</c:v>
                </c:pt>
                <c:pt idx="16">
                  <c:v>5184.532223831936</c:v>
                </c:pt>
                <c:pt idx="17">
                  <c:v>7900.713366257447</c:v>
                </c:pt>
                <c:pt idx="18">
                  <c:v>12371.849867170644</c:v>
                </c:pt>
              </c:numCache>
            </c:numRef>
          </c:yVal>
          <c:smooth val="0"/>
        </c:ser>
        <c:axId val="33385105"/>
        <c:axId val="32030490"/>
      </c:scatterChart>
      <c:valAx>
        <c:axId val="33385105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Moisture, %v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030490"/>
        <c:crosses val="autoZero"/>
        <c:crossBetween val="midCat"/>
        <c:dispUnits/>
        <c:majorUnit val="10"/>
      </c:valAx>
      <c:valAx>
        <c:axId val="32030490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Tension, kPa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385105"/>
        <c:crosses val="autoZero"/>
        <c:crossBetween val="midCat"/>
        <c:dispUnits/>
        <c:majorUnit val="10"/>
        <c:minorUnit val="1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Organic Matter Effects on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'Equations-Protected'!$BI$15:$BI$37</c:f>
              <c:numCache>
                <c:ptCount val="23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</c:numCache>
            </c:numRef>
          </c:xVal>
          <c:yVal>
            <c:numRef>
              <c:f>'Equations-Protected'!$BJ$15:$BJ$37</c:f>
              <c:numCache>
                <c:ptCount val="23"/>
                <c:pt idx="11">
                  <c:v>1.2786556378198501</c:v>
                </c:pt>
                <c:pt idx="12">
                  <c:v>0.8916288348113184</c:v>
                </c:pt>
                <c:pt idx="13">
                  <c:v>0.6103542483787457</c:v>
                </c:pt>
                <c:pt idx="14">
                  <c:v>0.409334360488617</c:v>
                </c:pt>
                <c:pt idx="15">
                  <c:v>0.2683210083623947</c:v>
                </c:pt>
                <c:pt idx="16">
                  <c:v>0.1714383426498765</c:v>
                </c:pt>
                <c:pt idx="17">
                  <c:v>0.10641464241036659</c:v>
                </c:pt>
                <c:pt idx="18">
                  <c:v>0.06391468320522084</c:v>
                </c:pt>
                <c:pt idx="19">
                  <c:v>0.0369645427797582</c:v>
                </c:pt>
                <c:pt idx="20">
                  <c:v>0.020460924115776404</c:v>
                </c:pt>
                <c:pt idx="21">
                  <c:v>0.010757278829622909</c:v>
                </c:pt>
                <c:pt idx="22">
                  <c:v>0.005319225878245179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'Equations-Protected'!$BI$15:$BI$37</c:f>
              <c:numCache>
                <c:ptCount val="23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</c:numCache>
            </c:numRef>
          </c:xVal>
          <c:yVal>
            <c:numRef>
              <c:f>'Equations-Protected'!$BK$15:$BK$37</c:f>
              <c:numCache>
                <c:ptCount val="23"/>
                <c:pt idx="10">
                  <c:v>3.3976270300272464</c:v>
                </c:pt>
                <c:pt idx="11">
                  <c:v>2.03047356904876</c:v>
                </c:pt>
                <c:pt idx="12">
                  <c:v>1.1833371244593118</c:v>
                </c:pt>
                <c:pt idx="13">
                  <c:v>0.6707943942139084</c:v>
                </c:pt>
                <c:pt idx="14">
                  <c:v>0.3687556455610632</c:v>
                </c:pt>
                <c:pt idx="15">
                  <c:v>0.19589865283684277</c:v>
                </c:pt>
                <c:pt idx="16">
                  <c:v>0.10015332898891266</c:v>
                </c:pt>
                <c:pt idx="17">
                  <c:v>0.04903304482595519</c:v>
                </c:pt>
                <c:pt idx="18">
                  <c:v>0.02285095867459416</c:v>
                </c:pt>
                <c:pt idx="19">
                  <c:v>0.010063208364173851</c:v>
                </c:pt>
                <c:pt idx="20">
                  <c:v>0.0041499776929806425</c:v>
                </c:pt>
                <c:pt idx="21">
                  <c:v>0.0015843938949853227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'Equations-Protected'!$BI$15:$BI$37</c:f>
              <c:numCache>
                <c:ptCount val="23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</c:numCache>
            </c:numRef>
          </c:xVal>
          <c:yVal>
            <c:numRef>
              <c:f>'Equations-Protected'!$BL$15:$BL$37</c:f>
              <c:numCache>
                <c:ptCount val="23"/>
                <c:pt idx="9">
                  <c:v>2.110848917341711</c:v>
                </c:pt>
                <c:pt idx="10">
                  <c:v>0.995962841330262</c:v>
                </c:pt>
                <c:pt idx="11">
                  <c:v>0.4537859284183987</c:v>
                </c:pt>
                <c:pt idx="12">
                  <c:v>0.19897530808751615</c:v>
                </c:pt>
                <c:pt idx="13">
                  <c:v>0.08363303515362434</c:v>
                </c:pt>
                <c:pt idx="14">
                  <c:v>0.03354283542810304</c:v>
                </c:pt>
                <c:pt idx="15">
                  <c:v>0.012768404638932791</c:v>
                </c:pt>
                <c:pt idx="16">
                  <c:v>0.004583912987214286</c:v>
                </c:pt>
                <c:pt idx="17">
                  <c:v>0.0015403291141728162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'Equations-Protected'!$BI$15:$BI$37</c:f>
              <c:numCache>
                <c:ptCount val="23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</c:numCache>
            </c:numRef>
          </c:xVal>
          <c:yVal>
            <c:numRef>
              <c:f>'Equations-Protected'!$BM$15:$BM$37</c:f>
              <c:numCache>
                <c:ptCount val="23"/>
                <c:pt idx="11">
                  <c:v>0.003225727728718422</c:v>
                </c:pt>
                <c:pt idx="12">
                  <c:v>0.0008390335636848468</c:v>
                </c:pt>
                <c:pt idx="13">
                  <c:v>0.00020366945641792504</c:v>
                </c:pt>
                <c:pt idx="14">
                  <c:v>4.5795349147787075E-05</c:v>
                </c:pt>
                <c:pt idx="15">
                  <c:v>9.455024891601323E-06</c:v>
                </c:pt>
                <c:pt idx="16">
                  <c:v>1.7740035949463395E-06</c:v>
                </c:pt>
                <c:pt idx="17">
                  <c:v>2.9876543360453353E-07</c:v>
                </c:pt>
                <c:pt idx="18">
                  <c:v>4.449506481195466E-08</c:v>
                </c:pt>
                <c:pt idx="19">
                  <c:v>5.754115242442404E-09</c:v>
                </c:pt>
              </c:numCache>
            </c:numRef>
          </c:yVal>
          <c:smooth val="0"/>
        </c:ser>
        <c:axId val="19838955"/>
        <c:axId val="44332868"/>
      </c:scatterChart>
      <c:valAx>
        <c:axId val="19838955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Moisture, %v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25" b="1" i="0" u="none" baseline="0">
                <a:latin typeface="Arial"/>
                <a:ea typeface="Arial"/>
                <a:cs typeface="Arial"/>
              </a:defRPr>
            </a:pPr>
          </a:p>
        </c:txPr>
        <c:crossAx val="44332868"/>
        <c:crossesAt val="0.0001"/>
        <c:crossBetween val="midCat"/>
        <c:dispUnits/>
        <c:majorUnit val="10"/>
      </c:valAx>
      <c:valAx>
        <c:axId val="44332868"/>
        <c:scaling>
          <c:logBase val="10"/>
          <c:orientation val="minMax"/>
          <c:max val="1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Conductivity, mm/hr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25" b="1" i="0" u="none" baseline="0">
                <a:latin typeface="Arial"/>
                <a:ea typeface="Arial"/>
                <a:cs typeface="Arial"/>
              </a:defRPr>
            </a:pPr>
          </a:p>
        </c:txPr>
        <c:crossAx val="19838955"/>
        <c:crosses val="autoZero"/>
        <c:crossBetween val="midCat"/>
        <c:dispUnits/>
        <c:majorUnit val="10"/>
        <c:minorUnit val="10"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Organic Matter Effects on Tension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4175"/>
          <c:w val="0.936"/>
          <c:h val="0.786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'Equations-Protected'!$BD$23:$BD$44</c:f>
              <c:numCache>
                <c:ptCount val="22"/>
                <c:pt idx="0">
                  <c:v>48</c:v>
                </c:pt>
                <c:pt idx="1">
                  <c:v>46</c:v>
                </c:pt>
                <c:pt idx="2">
                  <c:v>44</c:v>
                </c:pt>
                <c:pt idx="3">
                  <c:v>42</c:v>
                </c:pt>
                <c:pt idx="4">
                  <c:v>40</c:v>
                </c:pt>
                <c:pt idx="5">
                  <c:v>38</c:v>
                </c:pt>
                <c:pt idx="6">
                  <c:v>36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28</c:v>
                </c:pt>
                <c:pt idx="11">
                  <c:v>26</c:v>
                </c:pt>
                <c:pt idx="12">
                  <c:v>24</c:v>
                </c:pt>
                <c:pt idx="13">
                  <c:v>22</c:v>
                </c:pt>
                <c:pt idx="14">
                  <c:v>20</c:v>
                </c:pt>
                <c:pt idx="15">
                  <c:v>19</c:v>
                </c:pt>
                <c:pt idx="16">
                  <c:v>18</c:v>
                </c:pt>
                <c:pt idx="17">
                  <c:v>17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13</c:v>
                </c:pt>
              </c:numCache>
            </c:numRef>
          </c:xVal>
          <c:yVal>
            <c:numRef>
              <c:f>'Equations-Protected'!$BE$23:$BE$44</c:f>
              <c:numCache>
                <c:ptCount val="22"/>
                <c:pt idx="5">
                  <c:v>16.229850331793806</c:v>
                </c:pt>
                <c:pt idx="6">
                  <c:v>18.274468559432222</c:v>
                </c:pt>
                <c:pt idx="7">
                  <c:v>20.716726985240378</c:v>
                </c:pt>
                <c:pt idx="8">
                  <c:v>23.664704921007893</c:v>
                </c:pt>
                <c:pt idx="9">
                  <c:v>27.26536355655754</c:v>
                </c:pt>
                <c:pt idx="10">
                  <c:v>31.722458108585137</c:v>
                </c:pt>
                <c:pt idx="11">
                  <c:v>37.32479735054067</c:v>
                </c:pt>
                <c:pt idx="12">
                  <c:v>44.49224766923059</c:v>
                </c:pt>
                <c:pt idx="13">
                  <c:v>53.85337356680142</c:v>
                </c:pt>
                <c:pt idx="14">
                  <c:v>66.3820840647013</c:v>
                </c:pt>
                <c:pt idx="15">
                  <c:v>74.29119726409539</c:v>
                </c:pt>
                <c:pt idx="16">
                  <c:v>83.65031844968567</c:v>
                </c:pt>
                <c:pt idx="17">
                  <c:v>94.82961454745565</c:v>
                </c:pt>
                <c:pt idx="18">
                  <c:v>108.32381232987588</c:v>
                </c:pt>
                <c:pt idx="19">
                  <c:v>124.80561810785443</c:v>
                </c:pt>
                <c:pt idx="20">
                  <c:v>145.20770955171378</c:v>
                </c:pt>
                <c:pt idx="21">
                  <c:v>170.8520920479078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'Equations-Protected'!$BD$23:$BD$44</c:f>
              <c:numCache>
                <c:ptCount val="22"/>
                <c:pt idx="0">
                  <c:v>48</c:v>
                </c:pt>
                <c:pt idx="1">
                  <c:v>46</c:v>
                </c:pt>
                <c:pt idx="2">
                  <c:v>44</c:v>
                </c:pt>
                <c:pt idx="3">
                  <c:v>42</c:v>
                </c:pt>
                <c:pt idx="4">
                  <c:v>40</c:v>
                </c:pt>
                <c:pt idx="5">
                  <c:v>38</c:v>
                </c:pt>
                <c:pt idx="6">
                  <c:v>36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28</c:v>
                </c:pt>
                <c:pt idx="11">
                  <c:v>26</c:v>
                </c:pt>
                <c:pt idx="12">
                  <c:v>24</c:v>
                </c:pt>
                <c:pt idx="13">
                  <c:v>22</c:v>
                </c:pt>
                <c:pt idx="14">
                  <c:v>20</c:v>
                </c:pt>
                <c:pt idx="15">
                  <c:v>19</c:v>
                </c:pt>
                <c:pt idx="16">
                  <c:v>18</c:v>
                </c:pt>
                <c:pt idx="17">
                  <c:v>17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13</c:v>
                </c:pt>
              </c:numCache>
            </c:numRef>
          </c:xVal>
          <c:yVal>
            <c:numRef>
              <c:f>'Equations-Protected'!$BF$23:$BF$44</c:f>
              <c:numCache>
                <c:ptCount val="22"/>
                <c:pt idx="4">
                  <c:v>15.447162600450485</c:v>
                </c:pt>
                <c:pt idx="5">
                  <c:v>18.997377754084948</c:v>
                </c:pt>
                <c:pt idx="6">
                  <c:v>23.626391061366206</c:v>
                </c:pt>
                <c:pt idx="7">
                  <c:v>29.751963103559824</c:v>
                </c:pt>
                <c:pt idx="8">
                  <c:v>37.99314531617837</c:v>
                </c:pt>
                <c:pt idx="9">
                  <c:v>49.28904762287019</c:v>
                </c:pt>
                <c:pt idx="10">
                  <c:v>65.1025216250145</c:v>
                </c:pt>
                <c:pt idx="11">
                  <c:v>87.78185727344554</c:v>
                </c:pt>
                <c:pt idx="12">
                  <c:v>121.22912131300605</c:v>
                </c:pt>
                <c:pt idx="13">
                  <c:v>172.19297006115593</c:v>
                </c:pt>
                <c:pt idx="14">
                  <c:v>252.90650265440664</c:v>
                </c:pt>
                <c:pt idx="15">
                  <c:v>311.0319022116163</c:v>
                </c:pt>
                <c:pt idx="16">
                  <c:v>386.81977319907287</c:v>
                </c:pt>
                <c:pt idx="17">
                  <c:v>487.1098421275654</c:v>
                </c:pt>
                <c:pt idx="18">
                  <c:v>622.0374417807385</c:v>
                </c:pt>
                <c:pt idx="19">
                  <c:v>806.9780176395027</c:v>
                </c:pt>
                <c:pt idx="20">
                  <c:v>1065.8819023297606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'Equations-Protected'!$BD$23:$BD$44</c:f>
              <c:numCache>
                <c:ptCount val="22"/>
                <c:pt idx="0">
                  <c:v>48</c:v>
                </c:pt>
                <c:pt idx="1">
                  <c:v>46</c:v>
                </c:pt>
                <c:pt idx="2">
                  <c:v>44</c:v>
                </c:pt>
                <c:pt idx="3">
                  <c:v>42</c:v>
                </c:pt>
                <c:pt idx="4">
                  <c:v>40</c:v>
                </c:pt>
                <c:pt idx="5">
                  <c:v>38</c:v>
                </c:pt>
                <c:pt idx="6">
                  <c:v>36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28</c:v>
                </c:pt>
                <c:pt idx="11">
                  <c:v>26</c:v>
                </c:pt>
                <c:pt idx="12">
                  <c:v>24</c:v>
                </c:pt>
                <c:pt idx="13">
                  <c:v>22</c:v>
                </c:pt>
                <c:pt idx="14">
                  <c:v>20</c:v>
                </c:pt>
                <c:pt idx="15">
                  <c:v>19</c:v>
                </c:pt>
                <c:pt idx="16">
                  <c:v>18</c:v>
                </c:pt>
                <c:pt idx="17">
                  <c:v>17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13</c:v>
                </c:pt>
              </c:numCache>
            </c:numRef>
          </c:xVal>
          <c:yVal>
            <c:numRef>
              <c:f>'Equations-Protected'!$BG$23:$BG$44</c:f>
              <c:numCache>
                <c:ptCount val="22"/>
                <c:pt idx="2">
                  <c:v>6.995110783945304</c:v>
                </c:pt>
                <c:pt idx="3">
                  <c:v>9.664637590534824</c:v>
                </c:pt>
                <c:pt idx="4">
                  <c:v>13.56524194379315</c:v>
                </c:pt>
                <c:pt idx="5">
                  <c:v>19.374192735367856</c:v>
                </c:pt>
                <c:pt idx="6">
                  <c:v>28.209215945160793</c:v>
                </c:pt>
                <c:pt idx="7">
                  <c:v>41.96499801349002</c:v>
                </c:pt>
                <c:pt idx="8">
                  <c:v>63.95049859967763</c:v>
                </c:pt>
                <c:pt idx="9">
                  <c:v>100.14107978969797</c:v>
                </c:pt>
                <c:pt idx="10">
                  <c:v>161.74215254443058</c:v>
                </c:pt>
                <c:pt idx="11">
                  <c:v>270.6891410554544</c:v>
                </c:pt>
                <c:pt idx="12">
                  <c:v>472.0941955474294</c:v>
                </c:pt>
                <c:pt idx="13">
                  <c:v>864.2053850921321</c:v>
                </c:pt>
                <c:pt idx="14">
                  <c:v>1675.9070013315416</c:v>
                </c:pt>
                <c:pt idx="15">
                  <c:v>2393.569195808273</c:v>
                </c:pt>
                <c:pt idx="16">
                  <c:v>3485.0850947188364</c:v>
                </c:pt>
                <c:pt idx="17">
                  <c:v>5184.532223831936</c:v>
                </c:pt>
                <c:pt idx="18">
                  <c:v>7900.713366257447</c:v>
                </c:pt>
                <c:pt idx="19">
                  <c:v>12371.849867170644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'Equations-Protected'!$BD$23:$BD$44</c:f>
              <c:numCache>
                <c:ptCount val="22"/>
                <c:pt idx="0">
                  <c:v>48</c:v>
                </c:pt>
                <c:pt idx="1">
                  <c:v>46</c:v>
                </c:pt>
                <c:pt idx="2">
                  <c:v>44</c:v>
                </c:pt>
                <c:pt idx="3">
                  <c:v>42</c:v>
                </c:pt>
                <c:pt idx="4">
                  <c:v>40</c:v>
                </c:pt>
                <c:pt idx="5">
                  <c:v>38</c:v>
                </c:pt>
                <c:pt idx="6">
                  <c:v>36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28</c:v>
                </c:pt>
                <c:pt idx="11">
                  <c:v>26</c:v>
                </c:pt>
                <c:pt idx="12">
                  <c:v>24</c:v>
                </c:pt>
                <c:pt idx="13">
                  <c:v>22</c:v>
                </c:pt>
                <c:pt idx="14">
                  <c:v>20</c:v>
                </c:pt>
                <c:pt idx="15">
                  <c:v>19</c:v>
                </c:pt>
                <c:pt idx="16">
                  <c:v>18</c:v>
                </c:pt>
                <c:pt idx="17">
                  <c:v>17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13</c:v>
                </c:pt>
              </c:numCache>
            </c:numRef>
          </c:xVal>
          <c:yVal>
            <c:numRef>
              <c:f>'Equations-Protected'!$BH$23:$BH$44</c:f>
              <c:numCache>
                <c:ptCount val="22"/>
                <c:pt idx="1">
                  <c:v>16.386591721415723</c:v>
                </c:pt>
                <c:pt idx="2">
                  <c:v>28.31084597980394</c:v>
                </c:pt>
                <c:pt idx="3">
                  <c:v>50.17250716305853</c:v>
                </c:pt>
                <c:pt idx="4">
                  <c:v>91.43364677512905</c:v>
                </c:pt>
                <c:pt idx="5">
                  <c:v>171.83758660439585</c:v>
                </c:pt>
                <c:pt idx="6">
                  <c:v>334.15563229948543</c:v>
                </c:pt>
                <c:pt idx="7">
                  <c:v>674.9828821482191</c:v>
                </c:pt>
                <c:pt idx="8">
                  <c:v>1422.8314017845553</c:v>
                </c:pt>
                <c:pt idx="9">
                  <c:v>3147.1861344512204</c:v>
                </c:pt>
                <c:pt idx="10">
                  <c:v>7353.377246643343</c:v>
                </c:pt>
                <c:pt idx="11">
                  <c:v>18296.8558238306</c:v>
                </c:pt>
                <c:pt idx="12">
                  <c:v>48974.479497367916</c:v>
                </c:pt>
                <c:pt idx="13">
                  <c:v>142820.4107930285</c:v>
                </c:pt>
                <c:pt idx="14">
                  <c:v>461257.533669047</c:v>
                </c:pt>
                <c:pt idx="15">
                  <c:v>866873.237416852</c:v>
                </c:pt>
                <c:pt idx="16">
                  <c:v>1685723.0161140945</c:v>
                </c:pt>
                <c:pt idx="17">
                  <c:v>3405102.5029573822</c:v>
                </c:pt>
                <c:pt idx="18">
                  <c:v>7177792.053160637</c:v>
                </c:pt>
              </c:numCache>
            </c:numRef>
          </c:yVal>
          <c:smooth val="0"/>
        </c:ser>
        <c:axId val="63451493"/>
        <c:axId val="34192526"/>
      </c:scatterChart>
      <c:valAx>
        <c:axId val="63451493"/>
        <c:scaling>
          <c:orientation val="minMax"/>
          <c:max val="5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Moisture, %v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00" b="1" i="0" u="none" baseline="0">
                <a:latin typeface="Arial"/>
                <a:ea typeface="Arial"/>
                <a:cs typeface="Arial"/>
              </a:defRPr>
            </a:pPr>
          </a:p>
        </c:txPr>
        <c:crossAx val="34192526"/>
        <c:crossesAt val="10"/>
        <c:crossBetween val="midCat"/>
        <c:dispUnits/>
        <c:majorUnit val="5"/>
        <c:minorUnit val="2"/>
      </c:valAx>
      <c:valAx>
        <c:axId val="34192526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Tension, kPa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00" b="1" i="0" u="none" baseline="0">
                <a:latin typeface="Arial"/>
                <a:ea typeface="Arial"/>
                <a:cs typeface="Arial"/>
              </a:defRPr>
            </a:pPr>
          </a:p>
        </c:txPr>
        <c:crossAx val="63451493"/>
        <c:crosses val="autoZero"/>
        <c:crossBetween val="midCat"/>
        <c:dispUnits/>
        <c:majorUnit val="10"/>
        <c:minorUnit val="10"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Density Effects on Conductivity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'Equations-Protected'!$BO$20:$BO$38</c:f>
              <c:numCache>
                <c:ptCount val="19"/>
                <c:pt idx="0">
                  <c:v>1.0114017026132287</c:v>
                </c:pt>
                <c:pt idx="1">
                  <c:v>0.9739423802942203</c:v>
                </c:pt>
                <c:pt idx="2">
                  <c:v>0.9364830579752118</c:v>
                </c:pt>
                <c:pt idx="3">
                  <c:v>0.8990237356562033</c:v>
                </c:pt>
                <c:pt idx="4">
                  <c:v>0.8615644133371949</c:v>
                </c:pt>
                <c:pt idx="5">
                  <c:v>0.8241050910181864</c:v>
                </c:pt>
                <c:pt idx="6">
                  <c:v>0.7866457686991779</c:v>
                </c:pt>
                <c:pt idx="7">
                  <c:v>0.7491864463801694</c:v>
                </c:pt>
                <c:pt idx="8">
                  <c:v>0.7117271240611609</c:v>
                </c:pt>
                <c:pt idx="9">
                  <c:v>0.6742678017421524</c:v>
                </c:pt>
                <c:pt idx="10">
                  <c:v>0.636808479423144</c:v>
                </c:pt>
                <c:pt idx="11">
                  <c:v>0.5993491571041355</c:v>
                </c:pt>
                <c:pt idx="12">
                  <c:v>0.561889834785127</c:v>
                </c:pt>
                <c:pt idx="13">
                  <c:v>0.5244305124661186</c:v>
                </c:pt>
                <c:pt idx="14">
                  <c:v>0.48697119014711016</c:v>
                </c:pt>
                <c:pt idx="15">
                  <c:v>0.44951186782810165</c:v>
                </c:pt>
                <c:pt idx="16">
                  <c:v>0.4120525455090932</c:v>
                </c:pt>
                <c:pt idx="17">
                  <c:v>0.3745932231900847</c:v>
                </c:pt>
                <c:pt idx="18">
                  <c:v>0.3371339008710762</c:v>
                </c:pt>
              </c:numCache>
            </c:numRef>
          </c:xVal>
          <c:yVal>
            <c:numRef>
              <c:f>'Equations-Protected'!$BP$20:$BP$38</c:f>
              <c:numCache>
                <c:ptCount val="19"/>
                <c:pt idx="0">
                  <c:v>25.043627272756698</c:v>
                </c:pt>
                <c:pt idx="1">
                  <c:v>18.33903468928976</c:v>
                </c:pt>
                <c:pt idx="2">
                  <c:v>11.544186800733005</c:v>
                </c:pt>
                <c:pt idx="3">
                  <c:v>7.130883932456581</c:v>
                </c:pt>
                <c:pt idx="4">
                  <c:v>4.315367423238856</c:v>
                </c:pt>
                <c:pt idx="5">
                  <c:v>2.553845347583161</c:v>
                </c:pt>
                <c:pt idx="6">
                  <c:v>1.4749294430325441</c:v>
                </c:pt>
                <c:pt idx="7">
                  <c:v>0.8293025130489937</c:v>
                </c:pt>
                <c:pt idx="8">
                  <c:v>0.4527158818116783</c:v>
                </c:pt>
                <c:pt idx="9">
                  <c:v>0.2391782097609618</c:v>
                </c:pt>
                <c:pt idx="10">
                  <c:v>0.12183570482790193</c:v>
                </c:pt>
                <c:pt idx="11">
                  <c:v>0.05957480332055156</c:v>
                </c:pt>
                <c:pt idx="12">
                  <c:v>0.027815778843141716</c:v>
                </c:pt>
                <c:pt idx="13">
                  <c:v>0.012322263594898242</c:v>
                </c:pt>
                <c:pt idx="14">
                  <c:v>0.005138944944211739</c:v>
                </c:pt>
                <c:pt idx="15">
                  <c:v>0.0019982087690722217</c:v>
                </c:pt>
                <c:pt idx="16">
                  <c:v>0.0007156358477758807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'Equations-Protected'!$BO$20:$BO$38</c:f>
              <c:numCache>
                <c:ptCount val="19"/>
                <c:pt idx="0">
                  <c:v>1.0114017026132287</c:v>
                </c:pt>
                <c:pt idx="1">
                  <c:v>0.9739423802942203</c:v>
                </c:pt>
                <c:pt idx="2">
                  <c:v>0.9364830579752118</c:v>
                </c:pt>
                <c:pt idx="3">
                  <c:v>0.8990237356562033</c:v>
                </c:pt>
                <c:pt idx="4">
                  <c:v>0.8615644133371949</c:v>
                </c:pt>
                <c:pt idx="5">
                  <c:v>0.8241050910181864</c:v>
                </c:pt>
                <c:pt idx="6">
                  <c:v>0.7866457686991779</c:v>
                </c:pt>
                <c:pt idx="7">
                  <c:v>0.7491864463801694</c:v>
                </c:pt>
                <c:pt idx="8">
                  <c:v>0.7117271240611609</c:v>
                </c:pt>
                <c:pt idx="9">
                  <c:v>0.6742678017421524</c:v>
                </c:pt>
                <c:pt idx="10">
                  <c:v>0.636808479423144</c:v>
                </c:pt>
                <c:pt idx="11">
                  <c:v>0.5993491571041355</c:v>
                </c:pt>
                <c:pt idx="12">
                  <c:v>0.561889834785127</c:v>
                </c:pt>
                <c:pt idx="13">
                  <c:v>0.5244305124661186</c:v>
                </c:pt>
                <c:pt idx="14">
                  <c:v>0.48697119014711016</c:v>
                </c:pt>
                <c:pt idx="15">
                  <c:v>0.44951186782810165</c:v>
                </c:pt>
                <c:pt idx="16">
                  <c:v>0.4120525455090932</c:v>
                </c:pt>
                <c:pt idx="17">
                  <c:v>0.3745932231900847</c:v>
                </c:pt>
                <c:pt idx="18">
                  <c:v>0.3371339008710762</c:v>
                </c:pt>
              </c:numCache>
            </c:numRef>
          </c:xVal>
          <c:yVal>
            <c:numRef>
              <c:f>'Equations-Protected'!$BQ$20:$BQ$38</c:f>
              <c:numCache>
                <c:ptCount val="19"/>
                <c:pt idx="0">
                  <c:v>12.141446393783953</c:v>
                </c:pt>
                <c:pt idx="1">
                  <c:v>8.859808174354924</c:v>
                </c:pt>
                <c:pt idx="2">
                  <c:v>5.54811371516088</c:v>
                </c:pt>
                <c:pt idx="3">
                  <c:v>3.4085292776126903</c:v>
                </c:pt>
                <c:pt idx="4">
                  <c:v>2.051080510137001</c:v>
                </c:pt>
                <c:pt idx="5">
                  <c:v>1.2066782344823672</c:v>
                </c:pt>
                <c:pt idx="6">
                  <c:v>0.6925969901644173</c:v>
                </c:pt>
                <c:pt idx="7">
                  <c:v>0.3869043886889211</c:v>
                </c:pt>
                <c:pt idx="8">
                  <c:v>0.20977470317076707</c:v>
                </c:pt>
                <c:pt idx="9">
                  <c:v>0.11003363297820933</c:v>
                </c:pt>
                <c:pt idx="10">
                  <c:v>0.05562580322813337</c:v>
                </c:pt>
                <c:pt idx="11">
                  <c:v>0.02698124329674214</c:v>
                </c:pt>
                <c:pt idx="12">
                  <c:v>0.012489989680379886</c:v>
                </c:pt>
                <c:pt idx="13">
                  <c:v>0.005482460726083544</c:v>
                </c:pt>
                <c:pt idx="14">
                  <c:v>0.002264006513201064</c:v>
                </c:pt>
                <c:pt idx="15">
                  <c:v>0.0008710044656822946</c:v>
                </c:pt>
                <c:pt idx="16">
                  <c:v>0.0003083506243525358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'Equations-Protected'!$BO$20:$BO$38</c:f>
              <c:numCache>
                <c:ptCount val="19"/>
                <c:pt idx="0">
                  <c:v>1.0114017026132287</c:v>
                </c:pt>
                <c:pt idx="1">
                  <c:v>0.9739423802942203</c:v>
                </c:pt>
                <c:pt idx="2">
                  <c:v>0.9364830579752118</c:v>
                </c:pt>
                <c:pt idx="3">
                  <c:v>0.8990237356562033</c:v>
                </c:pt>
                <c:pt idx="4">
                  <c:v>0.8615644133371949</c:v>
                </c:pt>
                <c:pt idx="5">
                  <c:v>0.8241050910181864</c:v>
                </c:pt>
                <c:pt idx="6">
                  <c:v>0.7866457686991779</c:v>
                </c:pt>
                <c:pt idx="7">
                  <c:v>0.7491864463801694</c:v>
                </c:pt>
                <c:pt idx="8">
                  <c:v>0.7117271240611609</c:v>
                </c:pt>
                <c:pt idx="9">
                  <c:v>0.6742678017421524</c:v>
                </c:pt>
                <c:pt idx="10">
                  <c:v>0.636808479423144</c:v>
                </c:pt>
                <c:pt idx="11">
                  <c:v>0.5993491571041355</c:v>
                </c:pt>
                <c:pt idx="12">
                  <c:v>0.561889834785127</c:v>
                </c:pt>
                <c:pt idx="13">
                  <c:v>0.5244305124661186</c:v>
                </c:pt>
                <c:pt idx="14">
                  <c:v>0.48697119014711016</c:v>
                </c:pt>
                <c:pt idx="15">
                  <c:v>0.44951186782810165</c:v>
                </c:pt>
                <c:pt idx="16">
                  <c:v>0.4120525455090932</c:v>
                </c:pt>
                <c:pt idx="17">
                  <c:v>0.3745932231900847</c:v>
                </c:pt>
                <c:pt idx="18">
                  <c:v>0.3371339008710762</c:v>
                </c:pt>
              </c:numCache>
            </c:numRef>
          </c:xVal>
          <c:yVal>
            <c:numRef>
              <c:f>'Equations-Protected'!$BR$20:$BR$38</c:f>
              <c:numCache>
                <c:ptCount val="19"/>
                <c:pt idx="0">
                  <c:v>4.558694484951423</c:v>
                </c:pt>
                <c:pt idx="1">
                  <c:v>3.314372572180048</c:v>
                </c:pt>
                <c:pt idx="2">
                  <c:v>2.064219846378179</c:v>
                </c:pt>
                <c:pt idx="3">
                  <c:v>1.2609985801750192</c:v>
                </c:pt>
                <c:pt idx="4">
                  <c:v>0.7543317880350818</c:v>
                </c:pt>
                <c:pt idx="5">
                  <c:v>0.44105134367180593</c:v>
                </c:pt>
                <c:pt idx="6">
                  <c:v>0.25151937731289464</c:v>
                </c:pt>
                <c:pt idx="7">
                  <c:v>0.13955670695577072</c:v>
                </c:pt>
                <c:pt idx="8">
                  <c:v>0.07512860966968551</c:v>
                </c:pt>
                <c:pt idx="9">
                  <c:v>0.03911249326845819</c:v>
                </c:pt>
                <c:pt idx="10">
                  <c:v>0.019616324959359152</c:v>
                </c:pt>
                <c:pt idx="11">
                  <c:v>0.009435077610803443</c:v>
                </c:pt>
                <c:pt idx="12">
                  <c:v>0.004328641480800227</c:v>
                </c:pt>
                <c:pt idx="13">
                  <c:v>0.0018819250734118547</c:v>
                </c:pt>
                <c:pt idx="14">
                  <c:v>0.0007691890790805057</c:v>
                </c:pt>
                <c:pt idx="15">
                  <c:v>0.00029264855277530254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'Equations-Protected'!$BO$20:$BO$38</c:f>
              <c:numCache>
                <c:ptCount val="19"/>
                <c:pt idx="0">
                  <c:v>1.0114017026132287</c:v>
                </c:pt>
                <c:pt idx="1">
                  <c:v>0.9739423802942203</c:v>
                </c:pt>
                <c:pt idx="2">
                  <c:v>0.9364830579752118</c:v>
                </c:pt>
                <c:pt idx="3">
                  <c:v>0.8990237356562033</c:v>
                </c:pt>
                <c:pt idx="4">
                  <c:v>0.8615644133371949</c:v>
                </c:pt>
                <c:pt idx="5">
                  <c:v>0.8241050910181864</c:v>
                </c:pt>
                <c:pt idx="6">
                  <c:v>0.7866457686991779</c:v>
                </c:pt>
                <c:pt idx="7">
                  <c:v>0.7491864463801694</c:v>
                </c:pt>
                <c:pt idx="8">
                  <c:v>0.7117271240611609</c:v>
                </c:pt>
                <c:pt idx="9">
                  <c:v>0.6742678017421524</c:v>
                </c:pt>
                <c:pt idx="10">
                  <c:v>0.636808479423144</c:v>
                </c:pt>
                <c:pt idx="11">
                  <c:v>0.5993491571041355</c:v>
                </c:pt>
                <c:pt idx="12">
                  <c:v>0.561889834785127</c:v>
                </c:pt>
                <c:pt idx="13">
                  <c:v>0.5244305124661186</c:v>
                </c:pt>
                <c:pt idx="14">
                  <c:v>0.48697119014711016</c:v>
                </c:pt>
                <c:pt idx="15">
                  <c:v>0.44951186782810165</c:v>
                </c:pt>
                <c:pt idx="16">
                  <c:v>0.4120525455090932</c:v>
                </c:pt>
                <c:pt idx="17">
                  <c:v>0.3745932231900847</c:v>
                </c:pt>
                <c:pt idx="18">
                  <c:v>0.3371339008710762</c:v>
                </c:pt>
              </c:numCache>
            </c:numRef>
          </c:xVal>
          <c:yVal>
            <c:numRef>
              <c:f>'Equations-Protected'!$BS$20:$BS$38</c:f>
              <c:numCache>
                <c:ptCount val="19"/>
                <c:pt idx="0">
                  <c:v>0.9972375468983682</c:v>
                </c:pt>
                <c:pt idx="1">
                  <c:v>0.72226063565324</c:v>
                </c:pt>
                <c:pt idx="2">
                  <c:v>0.44727489119340375</c:v>
                </c:pt>
                <c:pt idx="3">
                  <c:v>0.2716177254002007</c:v>
                </c:pt>
                <c:pt idx="4">
                  <c:v>0.1614809335618256</c:v>
                </c:pt>
                <c:pt idx="5">
                  <c:v>0.09380888325259186</c:v>
                </c:pt>
                <c:pt idx="6">
                  <c:v>0.05313635677957774</c:v>
                </c:pt>
                <c:pt idx="7">
                  <c:v>0.029274760146012425</c:v>
                </c:pt>
                <c:pt idx="8">
                  <c:v>0.015642724394539453</c:v>
                </c:pt>
                <c:pt idx="9">
                  <c:v>0.008080011385348466</c:v>
                </c:pt>
                <c:pt idx="10">
                  <c:v>0.0040189125403382545</c:v>
                </c:pt>
                <c:pt idx="11">
                  <c:v>0.0019160735343759356</c:v>
                </c:pt>
                <c:pt idx="12">
                  <c:v>0.0008708577282083045</c:v>
                </c:pt>
                <c:pt idx="13">
                  <c:v>0.0003748399217631878</c:v>
                </c:pt>
              </c:numCache>
            </c:numRef>
          </c:yVal>
          <c:smooth val="0"/>
        </c:ser>
        <c:axId val="39297279"/>
        <c:axId val="18131192"/>
      </c:scatterChart>
      <c:valAx>
        <c:axId val="3929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Moisture / Saturation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131192"/>
        <c:crossesAt val="0.0001"/>
        <c:crossBetween val="midCat"/>
        <c:dispUnits/>
      </c:valAx>
      <c:valAx>
        <c:axId val="18131192"/>
        <c:scaling>
          <c:logBase val="10"/>
          <c:orientation val="minMax"/>
          <c:max val="1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Conductivity, mm/hr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297279"/>
        <c:crosses val="autoZero"/>
        <c:crossBetween val="midCat"/>
        <c:dispUnits/>
        <c:majorUnit val="10"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Moisture vrs. Conductivity</a:t>
            </a:r>
          </a:p>
        </c:rich>
      </c:tx>
      <c:layout>
        <c:manualLayout>
          <c:xMode val="factor"/>
          <c:yMode val="factor"/>
          <c:x val="-0.008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7425"/>
          <c:w val="0.931"/>
          <c:h val="0.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'Equations-Protected'!$BI$17:$BI$37</c:f>
              <c:numCache>
                <c:ptCount val="21"/>
                <c:pt idx="0">
                  <c:v>60</c:v>
                </c:pt>
                <c:pt idx="1">
                  <c:v>58</c:v>
                </c:pt>
                <c:pt idx="2">
                  <c:v>56</c:v>
                </c:pt>
                <c:pt idx="3">
                  <c:v>54</c:v>
                </c:pt>
                <c:pt idx="4">
                  <c:v>52</c:v>
                </c:pt>
                <c:pt idx="5">
                  <c:v>50</c:v>
                </c:pt>
                <c:pt idx="6">
                  <c:v>48</c:v>
                </c:pt>
                <c:pt idx="7">
                  <c:v>46</c:v>
                </c:pt>
                <c:pt idx="8">
                  <c:v>44</c:v>
                </c:pt>
                <c:pt idx="9">
                  <c:v>42</c:v>
                </c:pt>
                <c:pt idx="10">
                  <c:v>40</c:v>
                </c:pt>
                <c:pt idx="11">
                  <c:v>38</c:v>
                </c:pt>
                <c:pt idx="12">
                  <c:v>36</c:v>
                </c:pt>
                <c:pt idx="13">
                  <c:v>34</c:v>
                </c:pt>
                <c:pt idx="14">
                  <c:v>32</c:v>
                </c:pt>
                <c:pt idx="15">
                  <c:v>30</c:v>
                </c:pt>
                <c:pt idx="16">
                  <c:v>28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20</c:v>
                </c:pt>
              </c:numCache>
            </c:numRef>
          </c:xVal>
          <c:yVal>
            <c:numRef>
              <c:f>'Equations-Protected'!$BJ$17:$BJ$37</c:f>
              <c:numCache>
                <c:ptCount val="21"/>
                <c:pt idx="9">
                  <c:v>1.2786556378198501</c:v>
                </c:pt>
                <c:pt idx="10">
                  <c:v>0.8916288348113184</c:v>
                </c:pt>
                <c:pt idx="11">
                  <c:v>0.6103542483787457</c:v>
                </c:pt>
                <c:pt idx="12">
                  <c:v>0.409334360488617</c:v>
                </c:pt>
                <c:pt idx="13">
                  <c:v>0.2683210083623947</c:v>
                </c:pt>
                <c:pt idx="14">
                  <c:v>0.1714383426498765</c:v>
                </c:pt>
                <c:pt idx="15">
                  <c:v>0.10641464241036659</c:v>
                </c:pt>
                <c:pt idx="16">
                  <c:v>0.06391468320522084</c:v>
                </c:pt>
                <c:pt idx="17">
                  <c:v>0.0369645427797582</c:v>
                </c:pt>
                <c:pt idx="18">
                  <c:v>0.020460924115776404</c:v>
                </c:pt>
                <c:pt idx="19">
                  <c:v>0.010757278829622909</c:v>
                </c:pt>
                <c:pt idx="20">
                  <c:v>0.005319225878245179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'Equations-Protected'!$BI$17:$BI$37</c:f>
              <c:numCache>
                <c:ptCount val="21"/>
                <c:pt idx="0">
                  <c:v>60</c:v>
                </c:pt>
                <c:pt idx="1">
                  <c:v>58</c:v>
                </c:pt>
                <c:pt idx="2">
                  <c:v>56</c:v>
                </c:pt>
                <c:pt idx="3">
                  <c:v>54</c:v>
                </c:pt>
                <c:pt idx="4">
                  <c:v>52</c:v>
                </c:pt>
                <c:pt idx="5">
                  <c:v>50</c:v>
                </c:pt>
                <c:pt idx="6">
                  <c:v>48</c:v>
                </c:pt>
                <c:pt idx="7">
                  <c:v>46</c:v>
                </c:pt>
                <c:pt idx="8">
                  <c:v>44</c:v>
                </c:pt>
                <c:pt idx="9">
                  <c:v>42</c:v>
                </c:pt>
                <c:pt idx="10">
                  <c:v>40</c:v>
                </c:pt>
                <c:pt idx="11">
                  <c:v>38</c:v>
                </c:pt>
                <c:pt idx="12">
                  <c:v>36</c:v>
                </c:pt>
                <c:pt idx="13">
                  <c:v>34</c:v>
                </c:pt>
                <c:pt idx="14">
                  <c:v>32</c:v>
                </c:pt>
                <c:pt idx="15">
                  <c:v>30</c:v>
                </c:pt>
                <c:pt idx="16">
                  <c:v>28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20</c:v>
                </c:pt>
              </c:numCache>
            </c:numRef>
          </c:xVal>
          <c:yVal>
            <c:numRef>
              <c:f>'Equations-Protected'!$BK$17:$BK$37</c:f>
              <c:numCache>
                <c:ptCount val="21"/>
                <c:pt idx="8">
                  <c:v>3.3976270300272464</c:v>
                </c:pt>
                <c:pt idx="9">
                  <c:v>2.03047356904876</c:v>
                </c:pt>
                <c:pt idx="10">
                  <c:v>1.1833371244593118</c:v>
                </c:pt>
                <c:pt idx="11">
                  <c:v>0.6707943942139084</c:v>
                </c:pt>
                <c:pt idx="12">
                  <c:v>0.3687556455610632</c:v>
                </c:pt>
                <c:pt idx="13">
                  <c:v>0.19589865283684277</c:v>
                </c:pt>
                <c:pt idx="14">
                  <c:v>0.10015332898891266</c:v>
                </c:pt>
                <c:pt idx="15">
                  <c:v>0.04903304482595519</c:v>
                </c:pt>
                <c:pt idx="16">
                  <c:v>0.02285095867459416</c:v>
                </c:pt>
                <c:pt idx="17">
                  <c:v>0.010063208364173851</c:v>
                </c:pt>
                <c:pt idx="18">
                  <c:v>0.0041499776929806425</c:v>
                </c:pt>
                <c:pt idx="19">
                  <c:v>0.0015843938949853227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'Equations-Protected'!$BI$17:$BI$37</c:f>
              <c:numCache>
                <c:ptCount val="21"/>
                <c:pt idx="0">
                  <c:v>60</c:v>
                </c:pt>
                <c:pt idx="1">
                  <c:v>58</c:v>
                </c:pt>
                <c:pt idx="2">
                  <c:v>56</c:v>
                </c:pt>
                <c:pt idx="3">
                  <c:v>54</c:v>
                </c:pt>
                <c:pt idx="4">
                  <c:v>52</c:v>
                </c:pt>
                <c:pt idx="5">
                  <c:v>50</c:v>
                </c:pt>
                <c:pt idx="6">
                  <c:v>48</c:v>
                </c:pt>
                <c:pt idx="7">
                  <c:v>46</c:v>
                </c:pt>
                <c:pt idx="8">
                  <c:v>44</c:v>
                </c:pt>
                <c:pt idx="9">
                  <c:v>42</c:v>
                </c:pt>
                <c:pt idx="10">
                  <c:v>40</c:v>
                </c:pt>
                <c:pt idx="11">
                  <c:v>38</c:v>
                </c:pt>
                <c:pt idx="12">
                  <c:v>36</c:v>
                </c:pt>
                <c:pt idx="13">
                  <c:v>34</c:v>
                </c:pt>
                <c:pt idx="14">
                  <c:v>32</c:v>
                </c:pt>
                <c:pt idx="15">
                  <c:v>30</c:v>
                </c:pt>
                <c:pt idx="16">
                  <c:v>28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20</c:v>
                </c:pt>
              </c:numCache>
            </c:numRef>
          </c:xVal>
          <c:yVal>
            <c:numRef>
              <c:f>'Equations-Protected'!$BL$17:$BL$37</c:f>
              <c:numCache>
                <c:ptCount val="21"/>
                <c:pt idx="7">
                  <c:v>2.110848917341711</c:v>
                </c:pt>
                <c:pt idx="8">
                  <c:v>0.995962841330262</c:v>
                </c:pt>
                <c:pt idx="9">
                  <c:v>0.4537859284183987</c:v>
                </c:pt>
                <c:pt idx="10">
                  <c:v>0.19897530808751615</c:v>
                </c:pt>
                <c:pt idx="11">
                  <c:v>0.08363303515362434</c:v>
                </c:pt>
                <c:pt idx="12">
                  <c:v>0.03354283542810304</c:v>
                </c:pt>
                <c:pt idx="13">
                  <c:v>0.012768404638932791</c:v>
                </c:pt>
                <c:pt idx="14">
                  <c:v>0.004583912987214286</c:v>
                </c:pt>
                <c:pt idx="15">
                  <c:v>0.0015403291141728162</c:v>
                </c:pt>
              </c:numCache>
            </c:numRef>
          </c:yVal>
          <c:smooth val="0"/>
        </c:ser>
        <c:axId val="28963001"/>
        <c:axId val="59340418"/>
      </c:scatterChart>
      <c:valAx>
        <c:axId val="28963001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Moisture, %v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>
                <a:latin typeface="Arial"/>
                <a:ea typeface="Arial"/>
                <a:cs typeface="Arial"/>
              </a:defRPr>
            </a:pPr>
          </a:p>
        </c:txPr>
        <c:crossAx val="59340418"/>
        <c:crossesAt val="0.001"/>
        <c:crossBetween val="midCat"/>
        <c:dispUnits/>
        <c:majorUnit val="10"/>
      </c:valAx>
      <c:valAx>
        <c:axId val="59340418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Conductivity, mm/hr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63001"/>
        <c:crosses val="autoZero"/>
        <c:crossBetween val="midCat"/>
        <c:dispUnits/>
        <c:majorUnit val="10"/>
        <c:minorUnit val="10"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Gravel Effects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"/>
          <c:y val="0.12325"/>
          <c:w val="0.80275"/>
          <c:h val="0.78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Equations!$BU$20:$BU$34</c:f>
              <c:numCache>
                <c:ptCount val="1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</c:numCache>
            </c:numRef>
          </c:xVal>
          <c:yVal>
            <c:numRef>
              <c:f>Equations!$BV$20:$BV$34</c:f>
              <c:numCache>
                <c:ptCount val="15"/>
                <c:pt idx="0">
                  <c:v>0</c:v>
                </c:pt>
                <c:pt idx="1">
                  <c:v>0.02653337068447408</c:v>
                </c:pt>
                <c:pt idx="2">
                  <c:v>0.05441078097733056</c:v>
                </c:pt>
                <c:pt idx="3">
                  <c:v>0.08373700745098805</c:v>
                </c:pt>
                <c:pt idx="4">
                  <c:v>0.11462800790875503</c:v>
                </c:pt>
                <c:pt idx="5">
                  <c:v>0.14721245377321235</c:v>
                </c:pt>
                <c:pt idx="6">
                  <c:v>0.1816335215937623</c:v>
                </c:pt>
                <c:pt idx="7">
                  <c:v>0.21805099627413727</c:v>
                </c:pt>
                <c:pt idx="8">
                  <c:v>0.2566437511884162</c:v>
                </c:pt>
                <c:pt idx="9">
                  <c:v>0.2976126864039706</c:v>
                </c:pt>
                <c:pt idx="10">
                  <c:v>0.3411842268677897</c:v>
                </c:pt>
                <c:pt idx="11">
                  <c:v>0.3876145091439608</c:v>
                </c:pt>
                <c:pt idx="12">
                  <c:v>0.4371944201814284</c:v>
                </c:pt>
                <c:pt idx="13">
                  <c:v>0.49025569750739106</c:v>
                </c:pt>
                <c:pt idx="14">
                  <c:v>0.5471783611943417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Equations!$BU$20:$BU$34</c:f>
              <c:numCache>
                <c:ptCount val="1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</c:numCache>
            </c:numRef>
          </c:xVal>
          <c:yVal>
            <c:numRef>
              <c:f>Equations!$BW$20:$BW$34</c:f>
              <c:numCache>
                <c:ptCount val="15"/>
                <c:pt idx="0">
                  <c:v>1.3723687836147198</c:v>
                </c:pt>
                <c:pt idx="1">
                  <c:v>1.406268646277126</c:v>
                </c:pt>
                <c:pt idx="2">
                  <c:v>1.4418856958992596</c:v>
                </c:pt>
                <c:pt idx="3">
                  <c:v>1.479353798300789</c:v>
                </c:pt>
                <c:pt idx="4">
                  <c:v>1.5188211047910039</c:v>
                </c:pt>
                <c:pt idx="5">
                  <c:v>1.5604520099960508</c:v>
                </c:pt>
                <c:pt idx="6">
                  <c:v>1.6044294407449005</c:v>
                </c:pt>
                <c:pt idx="7">
                  <c:v>1.650957543218468</c:v>
                </c:pt>
                <c:pt idx="8">
                  <c:v>1.700264851623257</c:v>
                </c:pt>
                <c:pt idx="9">
                  <c:v>1.7526080421567158</c:v>
                </c:pt>
                <c:pt idx="10">
                  <c:v>1.8082764023992852</c:v>
                </c:pt>
                <c:pt idx="11">
                  <c:v>1.8675971804209017</c:v>
                </c:pt>
                <c:pt idx="12">
                  <c:v>1.9309420224679754</c:v>
                </c:pt>
                <c:pt idx="13">
                  <c:v>1.998734766760902</c:v>
                </c:pt>
                <c:pt idx="14">
                  <c:v>2.0714609388071508</c:v>
                </c:pt>
              </c:numCache>
            </c:numRef>
          </c:yVal>
          <c:smooth val="0"/>
        </c:ser>
        <c:axId val="27437037"/>
        <c:axId val="45606742"/>
      </c:scatterChart>
      <c:scatterChart>
        <c:scatterStyle val="lineMarker"/>
        <c:varyColors val="0"/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Equations!$BU$20:$BU$34</c:f>
              <c:numCache>
                <c:ptCount val="1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</c:numCache>
            </c:numRef>
          </c:xVal>
          <c:yVal>
            <c:numRef>
              <c:f>Equations!$BX$20:$BX$34</c:f>
              <c:numCache>
                <c:ptCount val="15"/>
                <c:pt idx="0">
                  <c:v>12.141446393783953</c:v>
                </c:pt>
                <c:pt idx="1">
                  <c:v>11.664543073356816</c:v>
                </c:pt>
                <c:pt idx="2">
                  <c:v>11.17675288662775</c:v>
                </c:pt>
                <c:pt idx="3">
                  <c:v>10.677698737280368</c:v>
                </c:pt>
                <c:pt idx="4">
                  <c:v>10.166985909890023</c:v>
                </c:pt>
                <c:pt idx="5">
                  <c:v>9.644201028737783</c:v>
                </c:pt>
                <c:pt idx="6">
                  <c:v>9.108910941907757</c:v>
                </c:pt>
                <c:pt idx="7">
                  <c:v>8.560661524336686</c:v>
                </c:pt>
                <c:pt idx="8">
                  <c:v>7.998976392864062</c:v>
                </c:pt>
                <c:pt idx="9">
                  <c:v>7.423355525641194</c:v>
                </c:pt>
                <c:pt idx="10">
                  <c:v>6.833273777489683</c:v>
                </c:pt>
                <c:pt idx="11">
                  <c:v>6.228179281944016</c:v>
                </c:pt>
                <c:pt idx="12">
                  <c:v>5.607491729757862</c:v>
                </c:pt>
                <c:pt idx="13">
                  <c:v>4.970600512586468</c:v>
                </c:pt>
                <c:pt idx="14">
                  <c:v>4.316862719363237</c:v>
                </c:pt>
              </c:numCache>
            </c:numRef>
          </c:yVal>
          <c:smooth val="0"/>
        </c:ser>
        <c:axId val="7807495"/>
        <c:axId val="3158592"/>
      </c:scatterChart>
      <c:valAx>
        <c:axId val="27437037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Gravel, %w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606742"/>
        <c:crosses val="autoZero"/>
        <c:crossBetween val="midCat"/>
        <c:dispUnits/>
        <c:majorUnit val="0.2"/>
        <c:minorUnit val="0.1"/>
      </c:valAx>
      <c:valAx>
        <c:axId val="45606742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Gravel, %v,
Bulk Den., g/cc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437037"/>
        <c:crosses val="autoZero"/>
        <c:crossBetween val="midCat"/>
        <c:dispUnits/>
        <c:majorUnit val="0.5"/>
        <c:minorUnit val="0.1"/>
      </c:valAx>
      <c:valAx>
        <c:axId val="7807495"/>
        <c:scaling>
          <c:orientation val="minMax"/>
        </c:scaling>
        <c:axPos val="b"/>
        <c:delete val="1"/>
        <c:majorTickMark val="in"/>
        <c:minorTickMark val="none"/>
        <c:tickLblPos val="nextTo"/>
        <c:crossAx val="3158592"/>
        <c:crosses val="max"/>
        <c:crossBetween val="midCat"/>
        <c:dispUnits/>
      </c:valAx>
      <c:valAx>
        <c:axId val="3158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Sat. Cond., mm/hr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807495"/>
        <c:crosses val="max"/>
        <c:crossBetween val="midCat"/>
        <c:dispUnits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Moisture vrs. Tension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95"/>
          <c:w val="0.94575"/>
          <c:h val="0.84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Equations!$BD$24:$BD$50</c:f>
              <c:numCache>
                <c:ptCount val="27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  <c:pt idx="4">
                  <c:v>38</c:v>
                </c:pt>
                <c:pt idx="5">
                  <c:v>36</c:v>
                </c:pt>
                <c:pt idx="6">
                  <c:v>34</c:v>
                </c:pt>
                <c:pt idx="7">
                  <c:v>32</c:v>
                </c:pt>
                <c:pt idx="8">
                  <c:v>30</c:v>
                </c:pt>
                <c:pt idx="9">
                  <c:v>28</c:v>
                </c:pt>
                <c:pt idx="10">
                  <c:v>26</c:v>
                </c:pt>
                <c:pt idx="11">
                  <c:v>24</c:v>
                </c:pt>
                <c:pt idx="12">
                  <c:v>22</c:v>
                </c:pt>
                <c:pt idx="13">
                  <c:v>20</c:v>
                </c:pt>
                <c:pt idx="14">
                  <c:v>19</c:v>
                </c:pt>
                <c:pt idx="15">
                  <c:v>18</c:v>
                </c:pt>
                <c:pt idx="16">
                  <c:v>17</c:v>
                </c:pt>
                <c:pt idx="17">
                  <c:v>16</c:v>
                </c:pt>
                <c:pt idx="18">
                  <c:v>15</c:v>
                </c:pt>
                <c:pt idx="19">
                  <c:v>14</c:v>
                </c:pt>
                <c:pt idx="20">
                  <c:v>13</c:v>
                </c:pt>
                <c:pt idx="21">
                  <c:v>12</c:v>
                </c:pt>
                <c:pt idx="22">
                  <c:v>11</c:v>
                </c:pt>
                <c:pt idx="23">
                  <c:v>10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</c:numCache>
            </c:numRef>
          </c:xVal>
          <c:yVal>
            <c:numRef>
              <c:f>Equations!$BE$24:$BE$50</c:f>
              <c:numCache>
                <c:ptCount val="27"/>
                <c:pt idx="4">
                  <c:v>16.229850331793806</c:v>
                </c:pt>
                <c:pt idx="5">
                  <c:v>18.274468559432222</c:v>
                </c:pt>
                <c:pt idx="6">
                  <c:v>20.716726985240378</c:v>
                </c:pt>
                <c:pt idx="7">
                  <c:v>23.664704921007893</c:v>
                </c:pt>
                <c:pt idx="8">
                  <c:v>27.26536355655754</c:v>
                </c:pt>
                <c:pt idx="9">
                  <c:v>31.722458108585137</c:v>
                </c:pt>
                <c:pt idx="10">
                  <c:v>37.32479735054067</c:v>
                </c:pt>
                <c:pt idx="11">
                  <c:v>44.49224766923059</c:v>
                </c:pt>
                <c:pt idx="12">
                  <c:v>53.85337356680142</c:v>
                </c:pt>
                <c:pt idx="13">
                  <c:v>66.3820840647013</c:v>
                </c:pt>
                <c:pt idx="14">
                  <c:v>74.29119726409539</c:v>
                </c:pt>
                <c:pt idx="15">
                  <c:v>83.65031844968567</c:v>
                </c:pt>
                <c:pt idx="16">
                  <c:v>94.82961454745565</c:v>
                </c:pt>
                <c:pt idx="17">
                  <c:v>108.32381232987588</c:v>
                </c:pt>
                <c:pt idx="18">
                  <c:v>124.80561810785443</c:v>
                </c:pt>
                <c:pt idx="19">
                  <c:v>145.20770955171378</c:v>
                </c:pt>
                <c:pt idx="20">
                  <c:v>170.8520920479078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Equations!$BD$24:$BD$50</c:f>
              <c:numCache>
                <c:ptCount val="27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  <c:pt idx="4">
                  <c:v>38</c:v>
                </c:pt>
                <c:pt idx="5">
                  <c:v>36</c:v>
                </c:pt>
                <c:pt idx="6">
                  <c:v>34</c:v>
                </c:pt>
                <c:pt idx="7">
                  <c:v>32</c:v>
                </c:pt>
                <c:pt idx="8">
                  <c:v>30</c:v>
                </c:pt>
                <c:pt idx="9">
                  <c:v>28</c:v>
                </c:pt>
                <c:pt idx="10">
                  <c:v>26</c:v>
                </c:pt>
                <c:pt idx="11">
                  <c:v>24</c:v>
                </c:pt>
                <c:pt idx="12">
                  <c:v>22</c:v>
                </c:pt>
                <c:pt idx="13">
                  <c:v>20</c:v>
                </c:pt>
                <c:pt idx="14">
                  <c:v>19</c:v>
                </c:pt>
                <c:pt idx="15">
                  <c:v>18</c:v>
                </c:pt>
                <c:pt idx="16">
                  <c:v>17</c:v>
                </c:pt>
                <c:pt idx="17">
                  <c:v>16</c:v>
                </c:pt>
                <c:pt idx="18">
                  <c:v>15</c:v>
                </c:pt>
                <c:pt idx="19">
                  <c:v>14</c:v>
                </c:pt>
                <c:pt idx="20">
                  <c:v>13</c:v>
                </c:pt>
                <c:pt idx="21">
                  <c:v>12</c:v>
                </c:pt>
                <c:pt idx="22">
                  <c:v>11</c:v>
                </c:pt>
                <c:pt idx="23">
                  <c:v>10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</c:numCache>
            </c:numRef>
          </c:xVal>
          <c:yVal>
            <c:numRef>
              <c:f>Equations!$BF$24:$BF$50</c:f>
              <c:numCache>
                <c:ptCount val="27"/>
                <c:pt idx="3">
                  <c:v>15.447162600450485</c:v>
                </c:pt>
                <c:pt idx="4">
                  <c:v>18.997377754084948</c:v>
                </c:pt>
                <c:pt idx="5">
                  <c:v>23.626391061366206</c:v>
                </c:pt>
                <c:pt idx="6">
                  <c:v>29.751963103559824</c:v>
                </c:pt>
                <c:pt idx="7">
                  <c:v>37.99314531617837</c:v>
                </c:pt>
                <c:pt idx="8">
                  <c:v>49.28904762287019</c:v>
                </c:pt>
                <c:pt idx="9">
                  <c:v>65.1025216250145</c:v>
                </c:pt>
                <c:pt idx="10">
                  <c:v>87.78185727344554</c:v>
                </c:pt>
                <c:pt idx="11">
                  <c:v>121.22912131300605</c:v>
                </c:pt>
                <c:pt idx="12">
                  <c:v>172.19297006115593</c:v>
                </c:pt>
                <c:pt idx="13">
                  <c:v>252.90650265440664</c:v>
                </c:pt>
                <c:pt idx="14">
                  <c:v>311.0319022116163</c:v>
                </c:pt>
                <c:pt idx="15">
                  <c:v>386.81977319907287</c:v>
                </c:pt>
                <c:pt idx="16">
                  <c:v>487.1098421275654</c:v>
                </c:pt>
                <c:pt idx="17">
                  <c:v>622.0374417807385</c:v>
                </c:pt>
                <c:pt idx="18">
                  <c:v>806.9780176395027</c:v>
                </c:pt>
                <c:pt idx="19">
                  <c:v>1065.8819023297606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Equations!$BD$24:$BD$50</c:f>
              <c:numCache>
                <c:ptCount val="27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  <c:pt idx="4">
                  <c:v>38</c:v>
                </c:pt>
                <c:pt idx="5">
                  <c:v>36</c:v>
                </c:pt>
                <c:pt idx="6">
                  <c:v>34</c:v>
                </c:pt>
                <c:pt idx="7">
                  <c:v>32</c:v>
                </c:pt>
                <c:pt idx="8">
                  <c:v>30</c:v>
                </c:pt>
                <c:pt idx="9">
                  <c:v>28</c:v>
                </c:pt>
                <c:pt idx="10">
                  <c:v>26</c:v>
                </c:pt>
                <c:pt idx="11">
                  <c:v>24</c:v>
                </c:pt>
                <c:pt idx="12">
                  <c:v>22</c:v>
                </c:pt>
                <c:pt idx="13">
                  <c:v>20</c:v>
                </c:pt>
                <c:pt idx="14">
                  <c:v>19</c:v>
                </c:pt>
                <c:pt idx="15">
                  <c:v>18</c:v>
                </c:pt>
                <c:pt idx="16">
                  <c:v>17</c:v>
                </c:pt>
                <c:pt idx="17">
                  <c:v>16</c:v>
                </c:pt>
                <c:pt idx="18">
                  <c:v>15</c:v>
                </c:pt>
                <c:pt idx="19">
                  <c:v>14</c:v>
                </c:pt>
                <c:pt idx="20">
                  <c:v>13</c:v>
                </c:pt>
                <c:pt idx="21">
                  <c:v>12</c:v>
                </c:pt>
                <c:pt idx="22">
                  <c:v>11</c:v>
                </c:pt>
                <c:pt idx="23">
                  <c:v>10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</c:numCache>
            </c:numRef>
          </c:xVal>
          <c:yVal>
            <c:numRef>
              <c:f>Equations!$BG$24:$BG$50</c:f>
              <c:numCache>
                <c:ptCount val="27"/>
                <c:pt idx="1">
                  <c:v>6.995110783945304</c:v>
                </c:pt>
                <c:pt idx="2">
                  <c:v>9.664637590534824</c:v>
                </c:pt>
                <c:pt idx="3">
                  <c:v>13.56524194379315</c:v>
                </c:pt>
                <c:pt idx="4">
                  <c:v>19.374192735367856</c:v>
                </c:pt>
                <c:pt idx="5">
                  <c:v>28.209215945160793</c:v>
                </c:pt>
                <c:pt idx="6">
                  <c:v>41.96499801349002</c:v>
                </c:pt>
                <c:pt idx="7">
                  <c:v>63.95049859967763</c:v>
                </c:pt>
                <c:pt idx="8">
                  <c:v>100.14107978969797</c:v>
                </c:pt>
                <c:pt idx="9">
                  <c:v>161.74215254443058</c:v>
                </c:pt>
                <c:pt idx="10">
                  <c:v>270.6891410554544</c:v>
                </c:pt>
                <c:pt idx="11">
                  <c:v>472.0941955474294</c:v>
                </c:pt>
                <c:pt idx="12">
                  <c:v>864.2053850921321</c:v>
                </c:pt>
                <c:pt idx="13">
                  <c:v>1675.9070013315416</c:v>
                </c:pt>
                <c:pt idx="14">
                  <c:v>2393.569195808273</c:v>
                </c:pt>
                <c:pt idx="15">
                  <c:v>3485.0850947188364</c:v>
                </c:pt>
                <c:pt idx="16">
                  <c:v>5184.532223831936</c:v>
                </c:pt>
                <c:pt idx="17">
                  <c:v>7900.713366257447</c:v>
                </c:pt>
                <c:pt idx="18">
                  <c:v>12371.849867170644</c:v>
                </c:pt>
              </c:numCache>
            </c:numRef>
          </c:yVal>
          <c:smooth val="0"/>
        </c:ser>
        <c:axId val="28427329"/>
        <c:axId val="54519370"/>
      </c:scatterChart>
      <c:valAx>
        <c:axId val="2842732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Moisture, %v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519370"/>
        <c:crosses val="autoZero"/>
        <c:crossBetween val="midCat"/>
        <c:dispUnits/>
        <c:majorUnit val="10"/>
      </c:valAx>
      <c:valAx>
        <c:axId val="54519370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Tension, kPa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427329"/>
        <c:crosses val="autoZero"/>
        <c:crossBetween val="midCat"/>
        <c:dispUnits/>
        <c:majorUnit val="10"/>
        <c:minorUnit val="1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Organic Matter Effects on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Equations!$BI$15:$BI$37</c:f>
              <c:numCache>
                <c:ptCount val="23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</c:numCache>
            </c:numRef>
          </c:xVal>
          <c:yVal>
            <c:numRef>
              <c:f>Equations!$BJ$15:$BJ$37</c:f>
              <c:numCache>
                <c:ptCount val="23"/>
                <c:pt idx="11">
                  <c:v>1.2786556378198501</c:v>
                </c:pt>
                <c:pt idx="12">
                  <c:v>0.8916288348113184</c:v>
                </c:pt>
                <c:pt idx="13">
                  <c:v>0.6103542483787457</c:v>
                </c:pt>
                <c:pt idx="14">
                  <c:v>0.409334360488617</c:v>
                </c:pt>
                <c:pt idx="15">
                  <c:v>0.2683210083623947</c:v>
                </c:pt>
                <c:pt idx="16">
                  <c:v>0.1714383426498765</c:v>
                </c:pt>
                <c:pt idx="17">
                  <c:v>0.10641464241036659</c:v>
                </c:pt>
                <c:pt idx="18">
                  <c:v>0.06391468320522084</c:v>
                </c:pt>
                <c:pt idx="19">
                  <c:v>0.0369645427797582</c:v>
                </c:pt>
                <c:pt idx="20">
                  <c:v>0.020460924115776404</c:v>
                </c:pt>
                <c:pt idx="21">
                  <c:v>0.010757278829622909</c:v>
                </c:pt>
                <c:pt idx="22">
                  <c:v>0.005319225878245179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Equations!$BI$15:$BI$37</c:f>
              <c:numCache>
                <c:ptCount val="23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</c:numCache>
            </c:numRef>
          </c:xVal>
          <c:yVal>
            <c:numRef>
              <c:f>Equations!$BK$15:$BK$37</c:f>
              <c:numCache>
                <c:ptCount val="23"/>
                <c:pt idx="10">
                  <c:v>3.3976270300272464</c:v>
                </c:pt>
                <c:pt idx="11">
                  <c:v>2.03047356904876</c:v>
                </c:pt>
                <c:pt idx="12">
                  <c:v>1.1833371244593118</c:v>
                </c:pt>
                <c:pt idx="13">
                  <c:v>0.6707943942139084</c:v>
                </c:pt>
                <c:pt idx="14">
                  <c:v>0.3687556455610632</c:v>
                </c:pt>
                <c:pt idx="15">
                  <c:v>0.19589865283684277</c:v>
                </c:pt>
                <c:pt idx="16">
                  <c:v>0.10015332898891266</c:v>
                </c:pt>
                <c:pt idx="17">
                  <c:v>0.04903304482595519</c:v>
                </c:pt>
                <c:pt idx="18">
                  <c:v>0.02285095867459416</c:v>
                </c:pt>
                <c:pt idx="19">
                  <c:v>0.010063208364173851</c:v>
                </c:pt>
                <c:pt idx="20">
                  <c:v>0.0041499776929806425</c:v>
                </c:pt>
                <c:pt idx="21">
                  <c:v>0.0015843938949853227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Equations!$BI$15:$BI$37</c:f>
              <c:numCache>
                <c:ptCount val="23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</c:numCache>
            </c:numRef>
          </c:xVal>
          <c:yVal>
            <c:numRef>
              <c:f>Equations!$BL$15:$BL$37</c:f>
              <c:numCache>
                <c:ptCount val="23"/>
                <c:pt idx="9">
                  <c:v>2.110848917341711</c:v>
                </c:pt>
                <c:pt idx="10">
                  <c:v>0.995962841330262</c:v>
                </c:pt>
                <c:pt idx="11">
                  <c:v>0.4537859284183987</c:v>
                </c:pt>
                <c:pt idx="12">
                  <c:v>0.19897530808751615</c:v>
                </c:pt>
                <c:pt idx="13">
                  <c:v>0.08363303515362434</c:v>
                </c:pt>
                <c:pt idx="14">
                  <c:v>0.03354283542810304</c:v>
                </c:pt>
                <c:pt idx="15">
                  <c:v>0.012768404638932791</c:v>
                </c:pt>
                <c:pt idx="16">
                  <c:v>0.004583912987214286</c:v>
                </c:pt>
                <c:pt idx="17">
                  <c:v>0.0015403291141728162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Equations!$BI$15:$BI$37</c:f>
              <c:numCache>
                <c:ptCount val="23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</c:numCache>
            </c:numRef>
          </c:xVal>
          <c:yVal>
            <c:numRef>
              <c:f>Equations!$BM$15:$BM$37</c:f>
              <c:numCache>
                <c:ptCount val="23"/>
                <c:pt idx="11">
                  <c:v>0.003225727728718422</c:v>
                </c:pt>
                <c:pt idx="12">
                  <c:v>0.0008390335636848468</c:v>
                </c:pt>
                <c:pt idx="13">
                  <c:v>0.00020366945641792504</c:v>
                </c:pt>
                <c:pt idx="14">
                  <c:v>4.5795349147787075E-05</c:v>
                </c:pt>
                <c:pt idx="15">
                  <c:v>9.455024891601323E-06</c:v>
                </c:pt>
                <c:pt idx="16">
                  <c:v>1.7740035949463395E-06</c:v>
                </c:pt>
                <c:pt idx="17">
                  <c:v>2.9876543360453353E-07</c:v>
                </c:pt>
                <c:pt idx="18">
                  <c:v>4.449506481195466E-08</c:v>
                </c:pt>
                <c:pt idx="19">
                  <c:v>5.754115242442404E-09</c:v>
                </c:pt>
              </c:numCache>
            </c:numRef>
          </c:yVal>
          <c:smooth val="0"/>
        </c:ser>
        <c:axId val="20912283"/>
        <c:axId val="53992820"/>
      </c:scatterChart>
      <c:valAx>
        <c:axId val="20912283"/>
        <c:scaling>
          <c:orientation val="minMax"/>
          <c:max val="7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Moisture, %v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25" b="1" i="0" u="none" baseline="0">
                <a:latin typeface="Arial"/>
                <a:ea typeface="Arial"/>
                <a:cs typeface="Arial"/>
              </a:defRPr>
            </a:pPr>
          </a:p>
        </c:txPr>
        <c:crossAx val="53992820"/>
        <c:crossesAt val="0.0001"/>
        <c:crossBetween val="midCat"/>
        <c:dispUnits/>
        <c:majorUnit val="10"/>
      </c:valAx>
      <c:valAx>
        <c:axId val="53992820"/>
        <c:scaling>
          <c:logBase val="10"/>
          <c:orientation val="minMax"/>
          <c:max val="1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Conductivity, mm/hr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25" b="1" i="0" u="none" baseline="0">
                <a:latin typeface="Arial"/>
                <a:ea typeface="Arial"/>
                <a:cs typeface="Arial"/>
              </a:defRPr>
            </a:pPr>
          </a:p>
        </c:txPr>
        <c:crossAx val="20912283"/>
        <c:crosses val="autoZero"/>
        <c:crossBetween val="midCat"/>
        <c:dispUnits/>
        <c:majorUnit val="10"/>
        <c:minorUnit val="10"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Organic Matter Effects on Tension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3875"/>
          <c:w val="0.9225"/>
          <c:h val="0.76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Equations!$BD$23:$BD$44</c:f>
              <c:numCache>
                <c:ptCount val="22"/>
                <c:pt idx="0">
                  <c:v>48</c:v>
                </c:pt>
                <c:pt idx="1">
                  <c:v>46</c:v>
                </c:pt>
                <c:pt idx="2">
                  <c:v>44</c:v>
                </c:pt>
                <c:pt idx="3">
                  <c:v>42</c:v>
                </c:pt>
                <c:pt idx="4">
                  <c:v>40</c:v>
                </c:pt>
                <c:pt idx="5">
                  <c:v>38</c:v>
                </c:pt>
                <c:pt idx="6">
                  <c:v>36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28</c:v>
                </c:pt>
                <c:pt idx="11">
                  <c:v>26</c:v>
                </c:pt>
                <c:pt idx="12">
                  <c:v>24</c:v>
                </c:pt>
                <c:pt idx="13">
                  <c:v>22</c:v>
                </c:pt>
                <c:pt idx="14">
                  <c:v>20</c:v>
                </c:pt>
                <c:pt idx="15">
                  <c:v>19</c:v>
                </c:pt>
                <c:pt idx="16">
                  <c:v>18</c:v>
                </c:pt>
                <c:pt idx="17">
                  <c:v>17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13</c:v>
                </c:pt>
              </c:numCache>
            </c:numRef>
          </c:xVal>
          <c:yVal>
            <c:numRef>
              <c:f>Equations!$BE$23:$BE$44</c:f>
              <c:numCache>
                <c:ptCount val="22"/>
                <c:pt idx="5">
                  <c:v>16.229850331793806</c:v>
                </c:pt>
                <c:pt idx="6">
                  <c:v>18.274468559432222</c:v>
                </c:pt>
                <c:pt idx="7">
                  <c:v>20.716726985240378</c:v>
                </c:pt>
                <c:pt idx="8">
                  <c:v>23.664704921007893</c:v>
                </c:pt>
                <c:pt idx="9">
                  <c:v>27.26536355655754</c:v>
                </c:pt>
                <c:pt idx="10">
                  <c:v>31.722458108585137</c:v>
                </c:pt>
                <c:pt idx="11">
                  <c:v>37.32479735054067</c:v>
                </c:pt>
                <c:pt idx="12">
                  <c:v>44.49224766923059</c:v>
                </c:pt>
                <c:pt idx="13">
                  <c:v>53.85337356680142</c:v>
                </c:pt>
                <c:pt idx="14">
                  <c:v>66.3820840647013</c:v>
                </c:pt>
                <c:pt idx="15">
                  <c:v>74.29119726409539</c:v>
                </c:pt>
                <c:pt idx="16">
                  <c:v>83.65031844968567</c:v>
                </c:pt>
                <c:pt idx="17">
                  <c:v>94.82961454745565</c:v>
                </c:pt>
                <c:pt idx="18">
                  <c:v>108.32381232987588</c:v>
                </c:pt>
                <c:pt idx="19">
                  <c:v>124.80561810785443</c:v>
                </c:pt>
                <c:pt idx="20">
                  <c:v>145.20770955171378</c:v>
                </c:pt>
                <c:pt idx="21">
                  <c:v>170.8520920479078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Equations!$BD$23:$BD$44</c:f>
              <c:numCache>
                <c:ptCount val="22"/>
                <c:pt idx="0">
                  <c:v>48</c:v>
                </c:pt>
                <c:pt idx="1">
                  <c:v>46</c:v>
                </c:pt>
                <c:pt idx="2">
                  <c:v>44</c:v>
                </c:pt>
                <c:pt idx="3">
                  <c:v>42</c:v>
                </c:pt>
                <c:pt idx="4">
                  <c:v>40</c:v>
                </c:pt>
                <c:pt idx="5">
                  <c:v>38</c:v>
                </c:pt>
                <c:pt idx="6">
                  <c:v>36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28</c:v>
                </c:pt>
                <c:pt idx="11">
                  <c:v>26</c:v>
                </c:pt>
                <c:pt idx="12">
                  <c:v>24</c:v>
                </c:pt>
                <c:pt idx="13">
                  <c:v>22</c:v>
                </c:pt>
                <c:pt idx="14">
                  <c:v>20</c:v>
                </c:pt>
                <c:pt idx="15">
                  <c:v>19</c:v>
                </c:pt>
                <c:pt idx="16">
                  <c:v>18</c:v>
                </c:pt>
                <c:pt idx="17">
                  <c:v>17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13</c:v>
                </c:pt>
              </c:numCache>
            </c:numRef>
          </c:xVal>
          <c:yVal>
            <c:numRef>
              <c:f>Equations!$BF$23:$BF$44</c:f>
              <c:numCache>
                <c:ptCount val="22"/>
                <c:pt idx="4">
                  <c:v>15.447162600450485</c:v>
                </c:pt>
                <c:pt idx="5">
                  <c:v>18.997377754084948</c:v>
                </c:pt>
                <c:pt idx="6">
                  <c:v>23.626391061366206</c:v>
                </c:pt>
                <c:pt idx="7">
                  <c:v>29.751963103559824</c:v>
                </c:pt>
                <c:pt idx="8">
                  <c:v>37.99314531617837</c:v>
                </c:pt>
                <c:pt idx="9">
                  <c:v>49.28904762287019</c:v>
                </c:pt>
                <c:pt idx="10">
                  <c:v>65.1025216250145</c:v>
                </c:pt>
                <c:pt idx="11">
                  <c:v>87.78185727344554</c:v>
                </c:pt>
                <c:pt idx="12">
                  <c:v>121.22912131300605</c:v>
                </c:pt>
                <c:pt idx="13">
                  <c:v>172.19297006115593</c:v>
                </c:pt>
                <c:pt idx="14">
                  <c:v>252.90650265440664</c:v>
                </c:pt>
                <c:pt idx="15">
                  <c:v>311.0319022116163</c:v>
                </c:pt>
                <c:pt idx="16">
                  <c:v>386.81977319907287</c:v>
                </c:pt>
                <c:pt idx="17">
                  <c:v>487.1098421275654</c:v>
                </c:pt>
                <c:pt idx="18">
                  <c:v>622.0374417807385</c:v>
                </c:pt>
                <c:pt idx="19">
                  <c:v>806.9780176395027</c:v>
                </c:pt>
                <c:pt idx="20">
                  <c:v>1065.8819023297606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Equations!$BD$23:$BD$44</c:f>
              <c:numCache>
                <c:ptCount val="22"/>
                <c:pt idx="0">
                  <c:v>48</c:v>
                </c:pt>
                <c:pt idx="1">
                  <c:v>46</c:v>
                </c:pt>
                <c:pt idx="2">
                  <c:v>44</c:v>
                </c:pt>
                <c:pt idx="3">
                  <c:v>42</c:v>
                </c:pt>
                <c:pt idx="4">
                  <c:v>40</c:v>
                </c:pt>
                <c:pt idx="5">
                  <c:v>38</c:v>
                </c:pt>
                <c:pt idx="6">
                  <c:v>36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28</c:v>
                </c:pt>
                <c:pt idx="11">
                  <c:v>26</c:v>
                </c:pt>
                <c:pt idx="12">
                  <c:v>24</c:v>
                </c:pt>
                <c:pt idx="13">
                  <c:v>22</c:v>
                </c:pt>
                <c:pt idx="14">
                  <c:v>20</c:v>
                </c:pt>
                <c:pt idx="15">
                  <c:v>19</c:v>
                </c:pt>
                <c:pt idx="16">
                  <c:v>18</c:v>
                </c:pt>
                <c:pt idx="17">
                  <c:v>17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13</c:v>
                </c:pt>
              </c:numCache>
            </c:numRef>
          </c:xVal>
          <c:yVal>
            <c:numRef>
              <c:f>Equations!$BG$23:$BG$44</c:f>
              <c:numCache>
                <c:ptCount val="22"/>
                <c:pt idx="2">
                  <c:v>6.995110783945304</c:v>
                </c:pt>
                <c:pt idx="3">
                  <c:v>9.664637590534824</c:v>
                </c:pt>
                <c:pt idx="4">
                  <c:v>13.56524194379315</c:v>
                </c:pt>
                <c:pt idx="5">
                  <c:v>19.374192735367856</c:v>
                </c:pt>
                <c:pt idx="6">
                  <c:v>28.209215945160793</c:v>
                </c:pt>
                <c:pt idx="7">
                  <c:v>41.96499801349002</c:v>
                </c:pt>
                <c:pt idx="8">
                  <c:v>63.95049859967763</c:v>
                </c:pt>
                <c:pt idx="9">
                  <c:v>100.14107978969797</c:v>
                </c:pt>
                <c:pt idx="10">
                  <c:v>161.74215254443058</c:v>
                </c:pt>
                <c:pt idx="11">
                  <c:v>270.6891410554544</c:v>
                </c:pt>
                <c:pt idx="12">
                  <c:v>472.0941955474294</c:v>
                </c:pt>
                <c:pt idx="13">
                  <c:v>864.2053850921321</c:v>
                </c:pt>
                <c:pt idx="14">
                  <c:v>1675.9070013315416</c:v>
                </c:pt>
                <c:pt idx="15">
                  <c:v>2393.569195808273</c:v>
                </c:pt>
                <c:pt idx="16">
                  <c:v>3485.0850947188364</c:v>
                </c:pt>
                <c:pt idx="17">
                  <c:v>5184.532223831936</c:v>
                </c:pt>
                <c:pt idx="18">
                  <c:v>7900.713366257447</c:v>
                </c:pt>
                <c:pt idx="19">
                  <c:v>12371.849867170644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Equations!$BD$23:$BD$44</c:f>
              <c:numCache>
                <c:ptCount val="22"/>
                <c:pt idx="0">
                  <c:v>48</c:v>
                </c:pt>
                <c:pt idx="1">
                  <c:v>46</c:v>
                </c:pt>
                <c:pt idx="2">
                  <c:v>44</c:v>
                </c:pt>
                <c:pt idx="3">
                  <c:v>42</c:v>
                </c:pt>
                <c:pt idx="4">
                  <c:v>40</c:v>
                </c:pt>
                <c:pt idx="5">
                  <c:v>38</c:v>
                </c:pt>
                <c:pt idx="6">
                  <c:v>36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28</c:v>
                </c:pt>
                <c:pt idx="11">
                  <c:v>26</c:v>
                </c:pt>
                <c:pt idx="12">
                  <c:v>24</c:v>
                </c:pt>
                <c:pt idx="13">
                  <c:v>22</c:v>
                </c:pt>
                <c:pt idx="14">
                  <c:v>20</c:v>
                </c:pt>
                <c:pt idx="15">
                  <c:v>19</c:v>
                </c:pt>
                <c:pt idx="16">
                  <c:v>18</c:v>
                </c:pt>
                <c:pt idx="17">
                  <c:v>17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13</c:v>
                </c:pt>
              </c:numCache>
            </c:numRef>
          </c:xVal>
          <c:yVal>
            <c:numRef>
              <c:f>Equations!$BH$23:$BH$44</c:f>
              <c:numCache>
                <c:ptCount val="22"/>
                <c:pt idx="1">
                  <c:v>16.386591721415723</c:v>
                </c:pt>
                <c:pt idx="2">
                  <c:v>28.31084597980394</c:v>
                </c:pt>
                <c:pt idx="3">
                  <c:v>50.17250716305853</c:v>
                </c:pt>
                <c:pt idx="4">
                  <c:v>91.43364677512905</c:v>
                </c:pt>
                <c:pt idx="5">
                  <c:v>171.83758660439585</c:v>
                </c:pt>
                <c:pt idx="6">
                  <c:v>334.15563229948543</c:v>
                </c:pt>
                <c:pt idx="7">
                  <c:v>674.9828821482191</c:v>
                </c:pt>
                <c:pt idx="8">
                  <c:v>1422.8314017845553</c:v>
                </c:pt>
                <c:pt idx="9">
                  <c:v>3147.1861344512204</c:v>
                </c:pt>
                <c:pt idx="10">
                  <c:v>7353.377246643343</c:v>
                </c:pt>
                <c:pt idx="11">
                  <c:v>18296.8558238306</c:v>
                </c:pt>
                <c:pt idx="12">
                  <c:v>48974.479497367916</c:v>
                </c:pt>
                <c:pt idx="13">
                  <c:v>142820.4107930285</c:v>
                </c:pt>
                <c:pt idx="14">
                  <c:v>461257.533669047</c:v>
                </c:pt>
                <c:pt idx="15">
                  <c:v>866873.237416852</c:v>
                </c:pt>
                <c:pt idx="16">
                  <c:v>1685723.0161140945</c:v>
                </c:pt>
                <c:pt idx="17">
                  <c:v>3405102.5029573822</c:v>
                </c:pt>
                <c:pt idx="18">
                  <c:v>7177792.053160637</c:v>
                </c:pt>
              </c:numCache>
            </c:numRef>
          </c:yVal>
          <c:smooth val="0"/>
        </c:ser>
        <c:axId val="16173333"/>
        <c:axId val="11342270"/>
      </c:scatterChart>
      <c:valAx>
        <c:axId val="16173333"/>
        <c:scaling>
          <c:orientation val="minMax"/>
          <c:max val="5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Moisture, %v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00" b="1" i="0" u="none" baseline="0">
                <a:latin typeface="Arial"/>
                <a:ea typeface="Arial"/>
                <a:cs typeface="Arial"/>
              </a:defRPr>
            </a:pPr>
          </a:p>
        </c:txPr>
        <c:crossAx val="11342270"/>
        <c:crossesAt val="10"/>
        <c:crossBetween val="midCat"/>
        <c:dispUnits/>
        <c:majorUnit val="5"/>
        <c:minorUnit val="2"/>
      </c:valAx>
      <c:valAx>
        <c:axId val="11342270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Tension, kPa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00" b="1" i="0" u="none" baseline="0">
                <a:latin typeface="Arial"/>
                <a:ea typeface="Arial"/>
                <a:cs typeface="Arial"/>
              </a:defRPr>
            </a:pPr>
          </a:p>
        </c:txPr>
        <c:crossAx val="16173333"/>
        <c:crosses val="autoZero"/>
        <c:crossBetween val="midCat"/>
        <c:dispUnits/>
        <c:majorUnit val="10"/>
        <c:minorUnit val="10"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Density Effects on Conductivity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Equations!$BO$20:$BO$38</c:f>
              <c:numCache>
                <c:ptCount val="19"/>
                <c:pt idx="0">
                  <c:v>1.0114017026132287</c:v>
                </c:pt>
                <c:pt idx="1">
                  <c:v>0.9739423802942203</c:v>
                </c:pt>
                <c:pt idx="2">
                  <c:v>0.9364830579752118</c:v>
                </c:pt>
                <c:pt idx="3">
                  <c:v>0.8990237356562033</c:v>
                </c:pt>
                <c:pt idx="4">
                  <c:v>0.8615644133371949</c:v>
                </c:pt>
                <c:pt idx="5">
                  <c:v>0.8241050910181864</c:v>
                </c:pt>
                <c:pt idx="6">
                  <c:v>0.7866457686991779</c:v>
                </c:pt>
                <c:pt idx="7">
                  <c:v>0.7491864463801694</c:v>
                </c:pt>
                <c:pt idx="8">
                  <c:v>0.7117271240611609</c:v>
                </c:pt>
                <c:pt idx="9">
                  <c:v>0.6742678017421524</c:v>
                </c:pt>
                <c:pt idx="10">
                  <c:v>0.636808479423144</c:v>
                </c:pt>
                <c:pt idx="11">
                  <c:v>0.5993491571041355</c:v>
                </c:pt>
                <c:pt idx="12">
                  <c:v>0.561889834785127</c:v>
                </c:pt>
                <c:pt idx="13">
                  <c:v>0.5244305124661186</c:v>
                </c:pt>
                <c:pt idx="14">
                  <c:v>0.48697119014711016</c:v>
                </c:pt>
                <c:pt idx="15">
                  <c:v>0.44951186782810165</c:v>
                </c:pt>
                <c:pt idx="16">
                  <c:v>0.4120525455090932</c:v>
                </c:pt>
                <c:pt idx="17">
                  <c:v>0.3745932231900847</c:v>
                </c:pt>
                <c:pt idx="18">
                  <c:v>0.3371339008710762</c:v>
                </c:pt>
              </c:numCache>
            </c:numRef>
          </c:xVal>
          <c:yVal>
            <c:numRef>
              <c:f>Equations!$BP$20:$BP$38</c:f>
              <c:numCache>
                <c:ptCount val="19"/>
                <c:pt idx="0">
                  <c:v>25.043627272756698</c:v>
                </c:pt>
                <c:pt idx="1">
                  <c:v>18.33903468928976</c:v>
                </c:pt>
                <c:pt idx="2">
                  <c:v>11.544186800733005</c:v>
                </c:pt>
                <c:pt idx="3">
                  <c:v>7.130883932456581</c:v>
                </c:pt>
                <c:pt idx="4">
                  <c:v>4.315367423238856</c:v>
                </c:pt>
                <c:pt idx="5">
                  <c:v>2.553845347583161</c:v>
                </c:pt>
                <c:pt idx="6">
                  <c:v>1.4749294430325441</c:v>
                </c:pt>
                <c:pt idx="7">
                  <c:v>0.8293025130489937</c:v>
                </c:pt>
                <c:pt idx="8">
                  <c:v>0.4527158818116783</c:v>
                </c:pt>
                <c:pt idx="9">
                  <c:v>0.2391782097609618</c:v>
                </c:pt>
                <c:pt idx="10">
                  <c:v>0.12183570482790193</c:v>
                </c:pt>
                <c:pt idx="11">
                  <c:v>0.05957480332055156</c:v>
                </c:pt>
                <c:pt idx="12">
                  <c:v>0.027815778843141716</c:v>
                </c:pt>
                <c:pt idx="13">
                  <c:v>0.012322263594898242</c:v>
                </c:pt>
                <c:pt idx="14">
                  <c:v>0.005138944944211739</c:v>
                </c:pt>
                <c:pt idx="15">
                  <c:v>0.0019982087690722217</c:v>
                </c:pt>
                <c:pt idx="16">
                  <c:v>0.0007156358477758807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Equations!$BO$20:$BO$38</c:f>
              <c:numCache>
                <c:ptCount val="19"/>
                <c:pt idx="0">
                  <c:v>1.0114017026132287</c:v>
                </c:pt>
                <c:pt idx="1">
                  <c:v>0.9739423802942203</c:v>
                </c:pt>
                <c:pt idx="2">
                  <c:v>0.9364830579752118</c:v>
                </c:pt>
                <c:pt idx="3">
                  <c:v>0.8990237356562033</c:v>
                </c:pt>
                <c:pt idx="4">
                  <c:v>0.8615644133371949</c:v>
                </c:pt>
                <c:pt idx="5">
                  <c:v>0.8241050910181864</c:v>
                </c:pt>
                <c:pt idx="6">
                  <c:v>0.7866457686991779</c:v>
                </c:pt>
                <c:pt idx="7">
                  <c:v>0.7491864463801694</c:v>
                </c:pt>
                <c:pt idx="8">
                  <c:v>0.7117271240611609</c:v>
                </c:pt>
                <c:pt idx="9">
                  <c:v>0.6742678017421524</c:v>
                </c:pt>
                <c:pt idx="10">
                  <c:v>0.636808479423144</c:v>
                </c:pt>
                <c:pt idx="11">
                  <c:v>0.5993491571041355</c:v>
                </c:pt>
                <c:pt idx="12">
                  <c:v>0.561889834785127</c:v>
                </c:pt>
                <c:pt idx="13">
                  <c:v>0.5244305124661186</c:v>
                </c:pt>
                <c:pt idx="14">
                  <c:v>0.48697119014711016</c:v>
                </c:pt>
                <c:pt idx="15">
                  <c:v>0.44951186782810165</c:v>
                </c:pt>
                <c:pt idx="16">
                  <c:v>0.4120525455090932</c:v>
                </c:pt>
                <c:pt idx="17">
                  <c:v>0.3745932231900847</c:v>
                </c:pt>
                <c:pt idx="18">
                  <c:v>0.3371339008710762</c:v>
                </c:pt>
              </c:numCache>
            </c:numRef>
          </c:xVal>
          <c:yVal>
            <c:numRef>
              <c:f>Equations!$BQ$20:$BQ$38</c:f>
              <c:numCache>
                <c:ptCount val="19"/>
                <c:pt idx="0">
                  <c:v>12.141446393783953</c:v>
                </c:pt>
                <c:pt idx="1">
                  <c:v>8.859808174354924</c:v>
                </c:pt>
                <c:pt idx="2">
                  <c:v>5.54811371516088</c:v>
                </c:pt>
                <c:pt idx="3">
                  <c:v>3.4085292776126903</c:v>
                </c:pt>
                <c:pt idx="4">
                  <c:v>2.051080510137001</c:v>
                </c:pt>
                <c:pt idx="5">
                  <c:v>1.2066782344823672</c:v>
                </c:pt>
                <c:pt idx="6">
                  <c:v>0.6925969901644173</c:v>
                </c:pt>
                <c:pt idx="7">
                  <c:v>0.3869043886889211</c:v>
                </c:pt>
                <c:pt idx="8">
                  <c:v>0.20977470317076707</c:v>
                </c:pt>
                <c:pt idx="9">
                  <c:v>0.11003363297820933</c:v>
                </c:pt>
                <c:pt idx="10">
                  <c:v>0.05562580322813337</c:v>
                </c:pt>
                <c:pt idx="11">
                  <c:v>0.02698124329674214</c:v>
                </c:pt>
                <c:pt idx="12">
                  <c:v>0.012489989680379886</c:v>
                </c:pt>
                <c:pt idx="13">
                  <c:v>0.005482460726083544</c:v>
                </c:pt>
                <c:pt idx="14">
                  <c:v>0.002264006513201064</c:v>
                </c:pt>
                <c:pt idx="15">
                  <c:v>0.0008710044656822946</c:v>
                </c:pt>
                <c:pt idx="16">
                  <c:v>0.0003083506243525358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Equations!$BO$20:$BO$38</c:f>
              <c:numCache>
                <c:ptCount val="19"/>
                <c:pt idx="0">
                  <c:v>1.0114017026132287</c:v>
                </c:pt>
                <c:pt idx="1">
                  <c:v>0.9739423802942203</c:v>
                </c:pt>
                <c:pt idx="2">
                  <c:v>0.9364830579752118</c:v>
                </c:pt>
                <c:pt idx="3">
                  <c:v>0.8990237356562033</c:v>
                </c:pt>
                <c:pt idx="4">
                  <c:v>0.8615644133371949</c:v>
                </c:pt>
                <c:pt idx="5">
                  <c:v>0.8241050910181864</c:v>
                </c:pt>
                <c:pt idx="6">
                  <c:v>0.7866457686991779</c:v>
                </c:pt>
                <c:pt idx="7">
                  <c:v>0.7491864463801694</c:v>
                </c:pt>
                <c:pt idx="8">
                  <c:v>0.7117271240611609</c:v>
                </c:pt>
                <c:pt idx="9">
                  <c:v>0.6742678017421524</c:v>
                </c:pt>
                <c:pt idx="10">
                  <c:v>0.636808479423144</c:v>
                </c:pt>
                <c:pt idx="11">
                  <c:v>0.5993491571041355</c:v>
                </c:pt>
                <c:pt idx="12">
                  <c:v>0.561889834785127</c:v>
                </c:pt>
                <c:pt idx="13">
                  <c:v>0.5244305124661186</c:v>
                </c:pt>
                <c:pt idx="14">
                  <c:v>0.48697119014711016</c:v>
                </c:pt>
                <c:pt idx="15">
                  <c:v>0.44951186782810165</c:v>
                </c:pt>
                <c:pt idx="16">
                  <c:v>0.4120525455090932</c:v>
                </c:pt>
                <c:pt idx="17">
                  <c:v>0.3745932231900847</c:v>
                </c:pt>
                <c:pt idx="18">
                  <c:v>0.3371339008710762</c:v>
                </c:pt>
              </c:numCache>
            </c:numRef>
          </c:xVal>
          <c:yVal>
            <c:numRef>
              <c:f>Equations!$BR$20:$BR$38</c:f>
              <c:numCache>
                <c:ptCount val="19"/>
                <c:pt idx="0">
                  <c:v>4.558694484951423</c:v>
                </c:pt>
                <c:pt idx="1">
                  <c:v>3.314372572180048</c:v>
                </c:pt>
                <c:pt idx="2">
                  <c:v>2.064219846378179</c:v>
                </c:pt>
                <c:pt idx="3">
                  <c:v>1.2609985801750192</c:v>
                </c:pt>
                <c:pt idx="4">
                  <c:v>0.7543317880350818</c:v>
                </c:pt>
                <c:pt idx="5">
                  <c:v>0.44105134367180593</c:v>
                </c:pt>
                <c:pt idx="6">
                  <c:v>0.25151937731289464</c:v>
                </c:pt>
                <c:pt idx="7">
                  <c:v>0.13955670695577072</c:v>
                </c:pt>
                <c:pt idx="8">
                  <c:v>0.07512860966968551</c:v>
                </c:pt>
                <c:pt idx="9">
                  <c:v>0.03911249326845819</c:v>
                </c:pt>
                <c:pt idx="10">
                  <c:v>0.019616324959359152</c:v>
                </c:pt>
                <c:pt idx="11">
                  <c:v>0.009435077610803443</c:v>
                </c:pt>
                <c:pt idx="12">
                  <c:v>0.004328641480800227</c:v>
                </c:pt>
                <c:pt idx="13">
                  <c:v>0.0018819250734118547</c:v>
                </c:pt>
                <c:pt idx="14">
                  <c:v>0.0007691890790805057</c:v>
                </c:pt>
                <c:pt idx="15">
                  <c:v>0.00029264855277530254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Equations!$BO$20:$BO$38</c:f>
              <c:numCache>
                <c:ptCount val="19"/>
                <c:pt idx="0">
                  <c:v>1.0114017026132287</c:v>
                </c:pt>
                <c:pt idx="1">
                  <c:v>0.9739423802942203</c:v>
                </c:pt>
                <c:pt idx="2">
                  <c:v>0.9364830579752118</c:v>
                </c:pt>
                <c:pt idx="3">
                  <c:v>0.8990237356562033</c:v>
                </c:pt>
                <c:pt idx="4">
                  <c:v>0.8615644133371949</c:v>
                </c:pt>
                <c:pt idx="5">
                  <c:v>0.8241050910181864</c:v>
                </c:pt>
                <c:pt idx="6">
                  <c:v>0.7866457686991779</c:v>
                </c:pt>
                <c:pt idx="7">
                  <c:v>0.7491864463801694</c:v>
                </c:pt>
                <c:pt idx="8">
                  <c:v>0.7117271240611609</c:v>
                </c:pt>
                <c:pt idx="9">
                  <c:v>0.6742678017421524</c:v>
                </c:pt>
                <c:pt idx="10">
                  <c:v>0.636808479423144</c:v>
                </c:pt>
                <c:pt idx="11">
                  <c:v>0.5993491571041355</c:v>
                </c:pt>
                <c:pt idx="12">
                  <c:v>0.561889834785127</c:v>
                </c:pt>
                <c:pt idx="13">
                  <c:v>0.5244305124661186</c:v>
                </c:pt>
                <c:pt idx="14">
                  <c:v>0.48697119014711016</c:v>
                </c:pt>
                <c:pt idx="15">
                  <c:v>0.44951186782810165</c:v>
                </c:pt>
                <c:pt idx="16">
                  <c:v>0.4120525455090932</c:v>
                </c:pt>
                <c:pt idx="17">
                  <c:v>0.3745932231900847</c:v>
                </c:pt>
                <c:pt idx="18">
                  <c:v>0.3371339008710762</c:v>
                </c:pt>
              </c:numCache>
            </c:numRef>
          </c:xVal>
          <c:yVal>
            <c:numRef>
              <c:f>Equations!$BS$20:$BS$38</c:f>
              <c:numCache>
                <c:ptCount val="19"/>
                <c:pt idx="0">
                  <c:v>0.9972375468983682</c:v>
                </c:pt>
                <c:pt idx="1">
                  <c:v>0.72226063565324</c:v>
                </c:pt>
                <c:pt idx="2">
                  <c:v>0.44727489119340375</c:v>
                </c:pt>
                <c:pt idx="3">
                  <c:v>0.2716177254002007</c:v>
                </c:pt>
                <c:pt idx="4">
                  <c:v>0.1614809335618256</c:v>
                </c:pt>
                <c:pt idx="5">
                  <c:v>0.09380888325259186</c:v>
                </c:pt>
                <c:pt idx="6">
                  <c:v>0.05313635677957774</c:v>
                </c:pt>
                <c:pt idx="7">
                  <c:v>0.029274760146012425</c:v>
                </c:pt>
                <c:pt idx="8">
                  <c:v>0.015642724394539453</c:v>
                </c:pt>
                <c:pt idx="9">
                  <c:v>0.008080011385348466</c:v>
                </c:pt>
                <c:pt idx="10">
                  <c:v>0.0040189125403382545</c:v>
                </c:pt>
                <c:pt idx="11">
                  <c:v>0.0019160735343759356</c:v>
                </c:pt>
                <c:pt idx="12">
                  <c:v>0.0008708577282083045</c:v>
                </c:pt>
                <c:pt idx="13">
                  <c:v>0.0003748399217631878</c:v>
                </c:pt>
              </c:numCache>
            </c:numRef>
          </c:yVal>
          <c:smooth val="0"/>
        </c:ser>
        <c:axId val="34971567"/>
        <c:axId val="46308648"/>
      </c:scatterChart>
      <c:valAx>
        <c:axId val="34971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Moisture / Saturation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308648"/>
        <c:crossesAt val="0.0001"/>
        <c:crossBetween val="midCat"/>
        <c:dispUnits/>
      </c:valAx>
      <c:valAx>
        <c:axId val="46308648"/>
        <c:scaling>
          <c:logBase val="10"/>
          <c:orientation val="minMax"/>
          <c:max val="1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Conductivity, mm/hr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971567"/>
        <c:crosses val="autoZero"/>
        <c:crossBetween val="midCat"/>
        <c:dispUnits/>
        <c:majorUnit val="10"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Moisture vrs. Conductivity</a:t>
            </a:r>
          </a:p>
        </c:rich>
      </c:tx>
      <c:layout>
        <c:manualLayout>
          <c:xMode val="factor"/>
          <c:yMode val="factor"/>
          <c:x val="-0.008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073"/>
          <c:w val="0.919"/>
          <c:h val="0.83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Equations!$BI$17:$BI$37</c:f>
              <c:numCache>
                <c:ptCount val="21"/>
                <c:pt idx="0">
                  <c:v>60</c:v>
                </c:pt>
                <c:pt idx="1">
                  <c:v>58</c:v>
                </c:pt>
                <c:pt idx="2">
                  <c:v>56</c:v>
                </c:pt>
                <c:pt idx="3">
                  <c:v>54</c:v>
                </c:pt>
                <c:pt idx="4">
                  <c:v>52</c:v>
                </c:pt>
                <c:pt idx="5">
                  <c:v>50</c:v>
                </c:pt>
                <c:pt idx="6">
                  <c:v>48</c:v>
                </c:pt>
                <c:pt idx="7">
                  <c:v>46</c:v>
                </c:pt>
                <c:pt idx="8">
                  <c:v>44</c:v>
                </c:pt>
                <c:pt idx="9">
                  <c:v>42</c:v>
                </c:pt>
                <c:pt idx="10">
                  <c:v>40</c:v>
                </c:pt>
                <c:pt idx="11">
                  <c:v>38</c:v>
                </c:pt>
                <c:pt idx="12">
                  <c:v>36</c:v>
                </c:pt>
                <c:pt idx="13">
                  <c:v>34</c:v>
                </c:pt>
                <c:pt idx="14">
                  <c:v>32</c:v>
                </c:pt>
                <c:pt idx="15">
                  <c:v>30</c:v>
                </c:pt>
                <c:pt idx="16">
                  <c:v>28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20</c:v>
                </c:pt>
              </c:numCache>
            </c:numRef>
          </c:xVal>
          <c:yVal>
            <c:numRef>
              <c:f>Equations!$BJ$17:$BJ$37</c:f>
              <c:numCache>
                <c:ptCount val="21"/>
                <c:pt idx="9">
                  <c:v>1.2786556378198501</c:v>
                </c:pt>
                <c:pt idx="10">
                  <c:v>0.8916288348113184</c:v>
                </c:pt>
                <c:pt idx="11">
                  <c:v>0.6103542483787457</c:v>
                </c:pt>
                <c:pt idx="12">
                  <c:v>0.409334360488617</c:v>
                </c:pt>
                <c:pt idx="13">
                  <c:v>0.2683210083623947</c:v>
                </c:pt>
                <c:pt idx="14">
                  <c:v>0.1714383426498765</c:v>
                </c:pt>
                <c:pt idx="15">
                  <c:v>0.10641464241036659</c:v>
                </c:pt>
                <c:pt idx="16">
                  <c:v>0.06391468320522084</c:v>
                </c:pt>
                <c:pt idx="17">
                  <c:v>0.0369645427797582</c:v>
                </c:pt>
                <c:pt idx="18">
                  <c:v>0.020460924115776404</c:v>
                </c:pt>
                <c:pt idx="19">
                  <c:v>0.010757278829622909</c:v>
                </c:pt>
                <c:pt idx="20">
                  <c:v>0.005319225878245179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Equations!$BI$17:$BI$37</c:f>
              <c:numCache>
                <c:ptCount val="21"/>
                <c:pt idx="0">
                  <c:v>60</c:v>
                </c:pt>
                <c:pt idx="1">
                  <c:v>58</c:v>
                </c:pt>
                <c:pt idx="2">
                  <c:v>56</c:v>
                </c:pt>
                <c:pt idx="3">
                  <c:v>54</c:v>
                </c:pt>
                <c:pt idx="4">
                  <c:v>52</c:v>
                </c:pt>
                <c:pt idx="5">
                  <c:v>50</c:v>
                </c:pt>
                <c:pt idx="6">
                  <c:v>48</c:v>
                </c:pt>
                <c:pt idx="7">
                  <c:v>46</c:v>
                </c:pt>
                <c:pt idx="8">
                  <c:v>44</c:v>
                </c:pt>
                <c:pt idx="9">
                  <c:v>42</c:v>
                </c:pt>
                <c:pt idx="10">
                  <c:v>40</c:v>
                </c:pt>
                <c:pt idx="11">
                  <c:v>38</c:v>
                </c:pt>
                <c:pt idx="12">
                  <c:v>36</c:v>
                </c:pt>
                <c:pt idx="13">
                  <c:v>34</c:v>
                </c:pt>
                <c:pt idx="14">
                  <c:v>32</c:v>
                </c:pt>
                <c:pt idx="15">
                  <c:v>30</c:v>
                </c:pt>
                <c:pt idx="16">
                  <c:v>28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20</c:v>
                </c:pt>
              </c:numCache>
            </c:numRef>
          </c:xVal>
          <c:yVal>
            <c:numRef>
              <c:f>Equations!$BK$17:$BK$37</c:f>
              <c:numCache>
                <c:ptCount val="21"/>
                <c:pt idx="8">
                  <c:v>3.3976270300272464</c:v>
                </c:pt>
                <c:pt idx="9">
                  <c:v>2.03047356904876</c:v>
                </c:pt>
                <c:pt idx="10">
                  <c:v>1.1833371244593118</c:v>
                </c:pt>
                <c:pt idx="11">
                  <c:v>0.6707943942139084</c:v>
                </c:pt>
                <c:pt idx="12">
                  <c:v>0.3687556455610632</c:v>
                </c:pt>
                <c:pt idx="13">
                  <c:v>0.19589865283684277</c:v>
                </c:pt>
                <c:pt idx="14">
                  <c:v>0.10015332898891266</c:v>
                </c:pt>
                <c:pt idx="15">
                  <c:v>0.04903304482595519</c:v>
                </c:pt>
                <c:pt idx="16">
                  <c:v>0.02285095867459416</c:v>
                </c:pt>
                <c:pt idx="17">
                  <c:v>0.010063208364173851</c:v>
                </c:pt>
                <c:pt idx="18">
                  <c:v>0.0041499776929806425</c:v>
                </c:pt>
                <c:pt idx="19">
                  <c:v>0.0015843938949853227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Equations!$BI$17:$BI$37</c:f>
              <c:numCache>
                <c:ptCount val="21"/>
                <c:pt idx="0">
                  <c:v>60</c:v>
                </c:pt>
                <c:pt idx="1">
                  <c:v>58</c:v>
                </c:pt>
                <c:pt idx="2">
                  <c:v>56</c:v>
                </c:pt>
                <c:pt idx="3">
                  <c:v>54</c:v>
                </c:pt>
                <c:pt idx="4">
                  <c:v>52</c:v>
                </c:pt>
                <c:pt idx="5">
                  <c:v>50</c:v>
                </c:pt>
                <c:pt idx="6">
                  <c:v>48</c:v>
                </c:pt>
                <c:pt idx="7">
                  <c:v>46</c:v>
                </c:pt>
                <c:pt idx="8">
                  <c:v>44</c:v>
                </c:pt>
                <c:pt idx="9">
                  <c:v>42</c:v>
                </c:pt>
                <c:pt idx="10">
                  <c:v>40</c:v>
                </c:pt>
                <c:pt idx="11">
                  <c:v>38</c:v>
                </c:pt>
                <c:pt idx="12">
                  <c:v>36</c:v>
                </c:pt>
                <c:pt idx="13">
                  <c:v>34</c:v>
                </c:pt>
                <c:pt idx="14">
                  <c:v>32</c:v>
                </c:pt>
                <c:pt idx="15">
                  <c:v>30</c:v>
                </c:pt>
                <c:pt idx="16">
                  <c:v>28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20</c:v>
                </c:pt>
              </c:numCache>
            </c:numRef>
          </c:xVal>
          <c:yVal>
            <c:numRef>
              <c:f>Equations!$BL$17:$BL$37</c:f>
              <c:numCache>
                <c:ptCount val="21"/>
                <c:pt idx="7">
                  <c:v>2.110848917341711</c:v>
                </c:pt>
                <c:pt idx="8">
                  <c:v>0.995962841330262</c:v>
                </c:pt>
                <c:pt idx="9">
                  <c:v>0.4537859284183987</c:v>
                </c:pt>
                <c:pt idx="10">
                  <c:v>0.19897530808751615</c:v>
                </c:pt>
                <c:pt idx="11">
                  <c:v>0.08363303515362434</c:v>
                </c:pt>
                <c:pt idx="12">
                  <c:v>0.03354283542810304</c:v>
                </c:pt>
                <c:pt idx="13">
                  <c:v>0.012768404638932791</c:v>
                </c:pt>
                <c:pt idx="14">
                  <c:v>0.004583912987214286</c:v>
                </c:pt>
                <c:pt idx="15">
                  <c:v>0.0015403291141728162</c:v>
                </c:pt>
              </c:numCache>
            </c:numRef>
          </c:yVal>
          <c:smooth val="0"/>
        </c:ser>
        <c:axId val="14124649"/>
        <c:axId val="60012978"/>
      </c:scatterChart>
      <c:valAx>
        <c:axId val="1412464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Moisture, %v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>
                <a:latin typeface="Arial"/>
                <a:ea typeface="Arial"/>
                <a:cs typeface="Arial"/>
              </a:defRPr>
            </a:pPr>
          </a:p>
        </c:txPr>
        <c:crossAx val="60012978"/>
        <c:crossesAt val="0.001"/>
        <c:crossBetween val="midCat"/>
        <c:dispUnits/>
        <c:majorUnit val="10"/>
      </c:valAx>
      <c:valAx>
        <c:axId val="60012978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Conductivity, mm/hr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24649"/>
        <c:crosses val="autoZero"/>
        <c:crossBetween val="midCat"/>
        <c:dispUnits/>
        <c:majorUnit val="10"/>
        <c:minorUnit val="10"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Salinity Effects on Tension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'Equations-Protected'!$CA$15:$CA$44</c:f>
              <c:numCache>
                <c:ptCount val="30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  <c:pt idx="23">
                  <c:v>19</c:v>
                </c:pt>
                <c:pt idx="24">
                  <c:v>18</c:v>
                </c:pt>
                <c:pt idx="25">
                  <c:v>17</c:v>
                </c:pt>
                <c:pt idx="26">
                  <c:v>16</c:v>
                </c:pt>
                <c:pt idx="27">
                  <c:v>15</c:v>
                </c:pt>
                <c:pt idx="28">
                  <c:v>14</c:v>
                </c:pt>
                <c:pt idx="29">
                  <c:v>13</c:v>
                </c:pt>
              </c:numCache>
            </c:numRef>
          </c:xVal>
          <c:yVal>
            <c:numRef>
              <c:f>'Equations-Protected'!$CB$15:$CB$44</c:f>
              <c:numCache>
                <c:ptCount val="30"/>
                <c:pt idx="12">
                  <c:v>14.502004662177464</c:v>
                </c:pt>
                <c:pt idx="13">
                  <c:v>16.229850331793806</c:v>
                </c:pt>
                <c:pt idx="14">
                  <c:v>18.274468559432222</c:v>
                </c:pt>
                <c:pt idx="15">
                  <c:v>20.716726985240378</c:v>
                </c:pt>
                <c:pt idx="16">
                  <c:v>23.664704921007893</c:v>
                </c:pt>
                <c:pt idx="17">
                  <c:v>27.26536355655754</c:v>
                </c:pt>
                <c:pt idx="18">
                  <c:v>31.722458108585137</c:v>
                </c:pt>
                <c:pt idx="19">
                  <c:v>37.32479735054067</c:v>
                </c:pt>
                <c:pt idx="20">
                  <c:v>44.49224766923059</c:v>
                </c:pt>
                <c:pt idx="21">
                  <c:v>53.85337356680142</c:v>
                </c:pt>
                <c:pt idx="22">
                  <c:v>66.3820840647013</c:v>
                </c:pt>
                <c:pt idx="23">
                  <c:v>74.29119726409539</c:v>
                </c:pt>
                <c:pt idx="24">
                  <c:v>83.65031844968567</c:v>
                </c:pt>
                <c:pt idx="25">
                  <c:v>94.82961454745565</c:v>
                </c:pt>
                <c:pt idx="26">
                  <c:v>108.32381232987588</c:v>
                </c:pt>
                <c:pt idx="27">
                  <c:v>124.80561810785443</c:v>
                </c:pt>
                <c:pt idx="28">
                  <c:v>145.20770955171378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'Equations-Protected'!$CA$15:$CA$44</c:f>
              <c:numCache>
                <c:ptCount val="30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  <c:pt idx="23">
                  <c:v>19</c:v>
                </c:pt>
                <c:pt idx="24">
                  <c:v>18</c:v>
                </c:pt>
                <c:pt idx="25">
                  <c:v>17</c:v>
                </c:pt>
                <c:pt idx="26">
                  <c:v>16</c:v>
                </c:pt>
                <c:pt idx="27">
                  <c:v>15</c:v>
                </c:pt>
                <c:pt idx="28">
                  <c:v>14</c:v>
                </c:pt>
                <c:pt idx="29">
                  <c:v>13</c:v>
                </c:pt>
              </c:numCache>
            </c:numRef>
          </c:xVal>
          <c:yVal>
            <c:numRef>
              <c:f>'Equations-Protected'!$CC$15:$CC$44</c:f>
              <c:numCache>
                <c:ptCount val="30"/>
                <c:pt idx="12">
                  <c:v>15.447162600450485</c:v>
                </c:pt>
                <c:pt idx="13">
                  <c:v>18.997377754084948</c:v>
                </c:pt>
                <c:pt idx="14">
                  <c:v>23.626391061366206</c:v>
                </c:pt>
                <c:pt idx="15">
                  <c:v>29.751963103559824</c:v>
                </c:pt>
                <c:pt idx="16">
                  <c:v>37.99314531617837</c:v>
                </c:pt>
                <c:pt idx="17">
                  <c:v>49.28904762287019</c:v>
                </c:pt>
                <c:pt idx="18">
                  <c:v>65.1025216250145</c:v>
                </c:pt>
                <c:pt idx="19">
                  <c:v>87.78185727344554</c:v>
                </c:pt>
                <c:pt idx="20">
                  <c:v>121.22912131300605</c:v>
                </c:pt>
                <c:pt idx="21">
                  <c:v>172.19297006115593</c:v>
                </c:pt>
                <c:pt idx="22">
                  <c:v>252.90650265440664</c:v>
                </c:pt>
                <c:pt idx="23">
                  <c:v>311.0319022116163</c:v>
                </c:pt>
                <c:pt idx="24">
                  <c:v>386.81977319907287</c:v>
                </c:pt>
                <c:pt idx="25">
                  <c:v>487.1098421275654</c:v>
                </c:pt>
                <c:pt idx="26">
                  <c:v>622.0374417807385</c:v>
                </c:pt>
                <c:pt idx="27">
                  <c:v>806.9780176395027</c:v>
                </c:pt>
                <c:pt idx="28">
                  <c:v>1065.8819023297606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'Equations-Protected'!$CA$15:$CA$44</c:f>
              <c:numCache>
                <c:ptCount val="30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  <c:pt idx="23">
                  <c:v>19</c:v>
                </c:pt>
                <c:pt idx="24">
                  <c:v>18</c:v>
                </c:pt>
                <c:pt idx="25">
                  <c:v>17</c:v>
                </c:pt>
                <c:pt idx="26">
                  <c:v>16</c:v>
                </c:pt>
                <c:pt idx="27">
                  <c:v>15</c:v>
                </c:pt>
                <c:pt idx="28">
                  <c:v>14</c:v>
                </c:pt>
                <c:pt idx="29">
                  <c:v>13</c:v>
                </c:pt>
              </c:numCache>
            </c:numRef>
          </c:xVal>
          <c:yVal>
            <c:numRef>
              <c:f>'Equations-Protected'!$CD$15:$CD$44</c:f>
              <c:numCache>
                <c:ptCount val="30"/>
                <c:pt idx="12">
                  <c:v>13.56524194379315</c:v>
                </c:pt>
                <c:pt idx="13">
                  <c:v>19.374192735367856</c:v>
                </c:pt>
                <c:pt idx="14">
                  <c:v>28.209215945160793</c:v>
                </c:pt>
                <c:pt idx="15">
                  <c:v>41.96499801349002</c:v>
                </c:pt>
                <c:pt idx="16">
                  <c:v>63.95049859967763</c:v>
                </c:pt>
                <c:pt idx="17">
                  <c:v>100.14107978969797</c:v>
                </c:pt>
                <c:pt idx="18">
                  <c:v>161.74215254443058</c:v>
                </c:pt>
                <c:pt idx="19">
                  <c:v>270.6891410554544</c:v>
                </c:pt>
                <c:pt idx="20">
                  <c:v>472.0941955474294</c:v>
                </c:pt>
                <c:pt idx="21">
                  <c:v>864.2053850921321</c:v>
                </c:pt>
                <c:pt idx="22">
                  <c:v>1675.9070013315416</c:v>
                </c:pt>
                <c:pt idx="23">
                  <c:v>2393.569195808273</c:v>
                </c:pt>
                <c:pt idx="24">
                  <c:v>3485.0850947188364</c:v>
                </c:pt>
                <c:pt idx="25">
                  <c:v>5184.532223831936</c:v>
                </c:pt>
                <c:pt idx="26">
                  <c:v>7900.713366257447</c:v>
                </c:pt>
                <c:pt idx="27">
                  <c:v>12371.849867170644</c:v>
                </c:pt>
                <c:pt idx="28">
                  <c:v>19982.305290446577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'Equations-Protected'!$CA$15:$CA$44</c:f>
              <c:numCache>
                <c:ptCount val="30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  <c:pt idx="23">
                  <c:v>19</c:v>
                </c:pt>
                <c:pt idx="24">
                  <c:v>18</c:v>
                </c:pt>
                <c:pt idx="25">
                  <c:v>17</c:v>
                </c:pt>
                <c:pt idx="26">
                  <c:v>16</c:v>
                </c:pt>
                <c:pt idx="27">
                  <c:v>15</c:v>
                </c:pt>
                <c:pt idx="28">
                  <c:v>14</c:v>
                </c:pt>
                <c:pt idx="29">
                  <c:v>13</c:v>
                </c:pt>
              </c:numCache>
            </c:numRef>
          </c:xVal>
          <c:yVal>
            <c:numRef>
              <c:f>'Equations-Protected'!$CE$15:$CE$44</c:f>
              <c:numCache>
                <c:ptCount val="30"/>
                <c:pt idx="12">
                  <c:v>91.43364677512905</c:v>
                </c:pt>
                <c:pt idx="13">
                  <c:v>171.83758660439585</c:v>
                </c:pt>
                <c:pt idx="14">
                  <c:v>334.15563229948543</c:v>
                </c:pt>
                <c:pt idx="15">
                  <c:v>674.9828821482191</c:v>
                </c:pt>
                <c:pt idx="16">
                  <c:v>1422.8314017845553</c:v>
                </c:pt>
                <c:pt idx="17">
                  <c:v>3147.1861344512204</c:v>
                </c:pt>
                <c:pt idx="18">
                  <c:v>7353.377246643343</c:v>
                </c:pt>
                <c:pt idx="19">
                  <c:v>18296.8558238306</c:v>
                </c:pt>
                <c:pt idx="20">
                  <c:v>48974.479497367916</c:v>
                </c:pt>
                <c:pt idx="21">
                  <c:v>142820.4107930285</c:v>
                </c:pt>
                <c:pt idx="22">
                  <c:v>461257.533669047</c:v>
                </c:pt>
                <c:pt idx="23">
                  <c:v>866873.237416852</c:v>
                </c:pt>
                <c:pt idx="24">
                  <c:v>1685723.0161140945</c:v>
                </c:pt>
                <c:pt idx="25">
                  <c:v>3405102.5029573822</c:v>
                </c:pt>
                <c:pt idx="26">
                  <c:v>7177792.053160637</c:v>
                </c:pt>
                <c:pt idx="27">
                  <c:v>15876686.160671214</c:v>
                </c:pt>
              </c:numCache>
            </c:numRef>
          </c:yVal>
          <c:smooth val="0"/>
        </c:ser>
        <c:axId val="3245891"/>
        <c:axId val="29213020"/>
      </c:scatterChart>
      <c:valAx>
        <c:axId val="3245891"/>
        <c:scaling>
          <c:orientation val="minMax"/>
          <c:max val="5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Moisture, %v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213020"/>
        <c:crossesAt val="10"/>
        <c:crossBetween val="midCat"/>
        <c:dispUnits/>
        <c:majorUnit val="5"/>
      </c:valAx>
      <c:valAx>
        <c:axId val="29213020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Tension, kPa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5891"/>
        <c:crosses val="autoZero"/>
        <c:crossBetween val="midCat"/>
        <c:dispUnits/>
        <c:majorUnit val="10"/>
        <c:minorUnit val="10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Gravel Effects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9"/>
          <c:y val="0.12475"/>
          <c:w val="0.80375"/>
          <c:h val="0.77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'Equations-Protected'!$BU$20:$BU$34</c:f>
              <c:numCache>
                <c:ptCount val="1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</c:numCache>
            </c:numRef>
          </c:xVal>
          <c:yVal>
            <c:numRef>
              <c:f>'Equations-Protected'!$BV$20:$BV$34</c:f>
              <c:numCache>
                <c:ptCount val="15"/>
                <c:pt idx="0">
                  <c:v>0</c:v>
                </c:pt>
                <c:pt idx="1">
                  <c:v>0.02653337068447408</c:v>
                </c:pt>
                <c:pt idx="2">
                  <c:v>0.05441078097733056</c:v>
                </c:pt>
                <c:pt idx="3">
                  <c:v>0.08373700745098805</c:v>
                </c:pt>
                <c:pt idx="4">
                  <c:v>0.11462800790875503</c:v>
                </c:pt>
                <c:pt idx="5">
                  <c:v>0.14721245377321235</c:v>
                </c:pt>
                <c:pt idx="6">
                  <c:v>0.1816335215937623</c:v>
                </c:pt>
                <c:pt idx="7">
                  <c:v>0.21805099627413727</c:v>
                </c:pt>
                <c:pt idx="8">
                  <c:v>0.2566437511884162</c:v>
                </c:pt>
                <c:pt idx="9">
                  <c:v>0.2976126864039706</c:v>
                </c:pt>
                <c:pt idx="10">
                  <c:v>0.3411842268677897</c:v>
                </c:pt>
                <c:pt idx="11">
                  <c:v>0.3876145091439608</c:v>
                </c:pt>
                <c:pt idx="12">
                  <c:v>0.4371944201814284</c:v>
                </c:pt>
                <c:pt idx="13">
                  <c:v>0.49025569750739106</c:v>
                </c:pt>
                <c:pt idx="14">
                  <c:v>0.5471783611943417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'Equations-Protected'!$BU$20:$BU$34</c:f>
              <c:numCache>
                <c:ptCount val="1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</c:numCache>
            </c:numRef>
          </c:xVal>
          <c:yVal>
            <c:numRef>
              <c:f>'Equations-Protected'!$BW$20:$BW$34</c:f>
              <c:numCache>
                <c:ptCount val="15"/>
                <c:pt idx="0">
                  <c:v>1.3723687836147198</c:v>
                </c:pt>
                <c:pt idx="1">
                  <c:v>1.406268646277126</c:v>
                </c:pt>
                <c:pt idx="2">
                  <c:v>1.4418856958992596</c:v>
                </c:pt>
                <c:pt idx="3">
                  <c:v>1.479353798300789</c:v>
                </c:pt>
                <c:pt idx="4">
                  <c:v>1.5188211047910039</c:v>
                </c:pt>
                <c:pt idx="5">
                  <c:v>1.5604520099960508</c:v>
                </c:pt>
                <c:pt idx="6">
                  <c:v>1.6044294407449005</c:v>
                </c:pt>
                <c:pt idx="7">
                  <c:v>1.650957543218468</c:v>
                </c:pt>
                <c:pt idx="8">
                  <c:v>1.700264851623257</c:v>
                </c:pt>
                <c:pt idx="9">
                  <c:v>1.7526080421567158</c:v>
                </c:pt>
                <c:pt idx="10">
                  <c:v>1.8082764023992852</c:v>
                </c:pt>
                <c:pt idx="11">
                  <c:v>1.8675971804209017</c:v>
                </c:pt>
                <c:pt idx="12">
                  <c:v>1.9309420224679754</c:v>
                </c:pt>
                <c:pt idx="13">
                  <c:v>1.998734766760902</c:v>
                </c:pt>
                <c:pt idx="14">
                  <c:v>2.0714609388071508</c:v>
                </c:pt>
              </c:numCache>
            </c:numRef>
          </c:yVal>
          <c:smooth val="0"/>
        </c:ser>
        <c:axId val="61590589"/>
        <c:axId val="17444390"/>
      </c:scatterChart>
      <c:scatterChart>
        <c:scatterStyle val="lineMarker"/>
        <c:varyColors val="0"/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'Equations-Protected'!$BU$20:$BU$34</c:f>
              <c:numCache>
                <c:ptCount val="1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</c:numCache>
            </c:numRef>
          </c:xVal>
          <c:yVal>
            <c:numRef>
              <c:f>'Equations-Protected'!$BX$20:$BX$34</c:f>
              <c:numCache>
                <c:ptCount val="15"/>
                <c:pt idx="0">
                  <c:v>12.141446393783953</c:v>
                </c:pt>
                <c:pt idx="1">
                  <c:v>11.664543073356816</c:v>
                </c:pt>
                <c:pt idx="2">
                  <c:v>11.17675288662775</c:v>
                </c:pt>
                <c:pt idx="3">
                  <c:v>10.677698737280368</c:v>
                </c:pt>
                <c:pt idx="4">
                  <c:v>10.166985909890023</c:v>
                </c:pt>
                <c:pt idx="5">
                  <c:v>9.644201028737783</c:v>
                </c:pt>
                <c:pt idx="6">
                  <c:v>9.108910941907757</c:v>
                </c:pt>
                <c:pt idx="7">
                  <c:v>8.560661524336686</c:v>
                </c:pt>
                <c:pt idx="8">
                  <c:v>7.998976392864062</c:v>
                </c:pt>
                <c:pt idx="9">
                  <c:v>7.423355525641194</c:v>
                </c:pt>
                <c:pt idx="10">
                  <c:v>6.833273777489683</c:v>
                </c:pt>
                <c:pt idx="11">
                  <c:v>6.228179281944016</c:v>
                </c:pt>
                <c:pt idx="12">
                  <c:v>5.607491729757862</c:v>
                </c:pt>
                <c:pt idx="13">
                  <c:v>4.970600512586468</c:v>
                </c:pt>
                <c:pt idx="14">
                  <c:v>4.316862719363237</c:v>
                </c:pt>
              </c:numCache>
            </c:numRef>
          </c:yVal>
          <c:smooth val="0"/>
        </c:ser>
        <c:axId val="22781783"/>
        <c:axId val="3709456"/>
      </c:scatterChart>
      <c:valAx>
        <c:axId val="61590589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Gravel, %w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444390"/>
        <c:crosses val="autoZero"/>
        <c:crossBetween val="midCat"/>
        <c:dispUnits/>
        <c:majorUnit val="0.2"/>
        <c:minorUnit val="0.1"/>
      </c:valAx>
      <c:valAx>
        <c:axId val="17444390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Gravel, %v,
Bulk Den., g/cc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590589"/>
        <c:crosses val="autoZero"/>
        <c:crossBetween val="midCat"/>
        <c:dispUnits/>
        <c:majorUnit val="0.5"/>
        <c:minorUnit val="0.1"/>
      </c:valAx>
      <c:valAx>
        <c:axId val="22781783"/>
        <c:scaling>
          <c:orientation val="minMax"/>
        </c:scaling>
        <c:axPos val="b"/>
        <c:delete val="1"/>
        <c:majorTickMark val="in"/>
        <c:minorTickMark val="none"/>
        <c:tickLblPos val="nextTo"/>
        <c:crossAx val="3709456"/>
        <c:crosses val="max"/>
        <c:crossBetween val="midCat"/>
        <c:dispUnits/>
      </c:valAx>
      <c:valAx>
        <c:axId val="3709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Sat. Cond., mm/hr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781783"/>
        <c:crosses val="max"/>
        <c:crossBetween val="midCat"/>
        <c:dispUnits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0.63475</cdr:y>
    </cdr:from>
    <cdr:to>
      <cdr:x>0.3215</cdr:x>
      <cdr:y>0.7895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2962275"/>
          <a:ext cx="1438275" cy="7239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Silt Loam
  (S=20, C=20)
OM = 2.5%</a:t>
          </a:r>
        </a:p>
      </cdr:txBody>
    </cdr:sp>
  </cdr:relSizeAnchor>
  <cdr:relSizeAnchor xmlns:cdr="http://schemas.openxmlformats.org/drawingml/2006/chartDrawing">
    <cdr:from>
      <cdr:x>0.749</cdr:x>
      <cdr:y>0.4015</cdr:y>
    </cdr:from>
    <cdr:to>
      <cdr:x>0.88</cdr:x>
      <cdr:y>0.49425</cdr:y>
    </cdr:to>
    <cdr:sp>
      <cdr:nvSpPr>
        <cdr:cNvPr id="2" name="TextBox 2"/>
        <cdr:cNvSpPr txBox="1">
          <a:spLocks noChangeArrowheads="1"/>
        </cdr:cNvSpPr>
      </cdr:nvSpPr>
      <cdr:spPr>
        <a:xfrm>
          <a:off x="5591175" y="1866900"/>
          <a:ext cx="981075" cy="4286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Salinity, dS/m</a:t>
          </a:r>
        </a:p>
      </cdr:txBody>
    </cdr:sp>
  </cdr:relSizeAnchor>
  <cdr:relSizeAnchor xmlns:cdr="http://schemas.openxmlformats.org/drawingml/2006/chartDrawing">
    <cdr:from>
      <cdr:x>0.78975</cdr:x>
      <cdr:y>0.77025</cdr:y>
    </cdr:from>
    <cdr:to>
      <cdr:x>0.82225</cdr:x>
      <cdr:y>0.81775</cdr:y>
    </cdr:to>
    <cdr:sp>
      <cdr:nvSpPr>
        <cdr:cNvPr id="3" name="TextBox 3"/>
        <cdr:cNvSpPr txBox="1">
          <a:spLocks noChangeArrowheads="1"/>
        </cdr:cNvSpPr>
      </cdr:nvSpPr>
      <cdr:spPr>
        <a:xfrm>
          <a:off x="5895975" y="3590925"/>
          <a:ext cx="238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0.78975</cdr:x>
      <cdr:y>0.586</cdr:y>
    </cdr:from>
    <cdr:to>
      <cdr:x>0.82225</cdr:x>
      <cdr:y>0.63325</cdr:y>
    </cdr:to>
    <cdr:sp>
      <cdr:nvSpPr>
        <cdr:cNvPr id="4" name="TextBox 4"/>
        <cdr:cNvSpPr txBox="1">
          <a:spLocks noChangeArrowheads="1"/>
        </cdr:cNvSpPr>
      </cdr:nvSpPr>
      <cdr:spPr>
        <a:xfrm>
          <a:off x="5895975" y="2733675"/>
          <a:ext cx="2381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0.78975</cdr:x>
      <cdr:y>0.5165</cdr:y>
    </cdr:from>
    <cdr:to>
      <cdr:x>0.82225</cdr:x>
      <cdr:y>0.56375</cdr:y>
    </cdr:to>
    <cdr:sp>
      <cdr:nvSpPr>
        <cdr:cNvPr id="5" name="TextBox 5"/>
        <cdr:cNvSpPr txBox="1">
          <a:spLocks noChangeArrowheads="1"/>
        </cdr:cNvSpPr>
      </cdr:nvSpPr>
      <cdr:spPr>
        <a:xfrm>
          <a:off x="5895975" y="2409825"/>
          <a:ext cx="2381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0.78975</cdr:x>
      <cdr:y>0.64925</cdr:y>
    </cdr:from>
    <cdr:to>
      <cdr:x>0.81775</cdr:x>
      <cdr:y>0.69675</cdr:y>
    </cdr:to>
    <cdr:sp>
      <cdr:nvSpPr>
        <cdr:cNvPr id="6" name="TextBox 6"/>
        <cdr:cNvSpPr txBox="1">
          <a:spLocks noChangeArrowheads="1"/>
        </cdr:cNvSpPr>
      </cdr:nvSpPr>
      <cdr:spPr>
        <a:xfrm>
          <a:off x="5895975" y="3028950"/>
          <a:ext cx="209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0.65875</cdr:x>
      <cdr:y>0.20525</cdr:y>
    </cdr:from>
    <cdr:to>
      <cdr:x>0.78075</cdr:x>
      <cdr:y>0.27125</cdr:y>
    </cdr:to>
    <cdr:sp>
      <cdr:nvSpPr>
        <cdr:cNvPr id="1" name="TextBox 1"/>
        <cdr:cNvSpPr txBox="1">
          <a:spLocks noChangeArrowheads="1"/>
        </cdr:cNvSpPr>
      </cdr:nvSpPr>
      <cdr:spPr>
        <a:xfrm>
          <a:off x="4533900" y="923925"/>
          <a:ext cx="838200" cy="2952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Bulk Den.</a:t>
          </a:r>
        </a:p>
      </cdr:txBody>
    </cdr:sp>
  </cdr:relSizeAnchor>
  <cdr:relSizeAnchor xmlns:cdr="http://schemas.openxmlformats.org/drawingml/2006/chartDrawing">
    <cdr:from>
      <cdr:x>0.66</cdr:x>
      <cdr:y>0.73675</cdr:y>
    </cdr:from>
    <cdr:to>
      <cdr:x>0.7795</cdr:x>
      <cdr:y>0.798</cdr:y>
    </cdr:to>
    <cdr:sp>
      <cdr:nvSpPr>
        <cdr:cNvPr id="2" name="TextBox 2"/>
        <cdr:cNvSpPr txBox="1">
          <a:spLocks noChangeArrowheads="1"/>
        </cdr:cNvSpPr>
      </cdr:nvSpPr>
      <cdr:spPr>
        <a:xfrm>
          <a:off x="4543425" y="3343275"/>
          <a:ext cx="819150" cy="2762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Gravel, %v</a:t>
          </a:r>
        </a:p>
      </cdr:txBody>
    </cdr:sp>
  </cdr:relSizeAnchor>
  <cdr:relSizeAnchor xmlns:cdr="http://schemas.openxmlformats.org/drawingml/2006/chartDrawing">
    <cdr:from>
      <cdr:x>0.452</cdr:x>
      <cdr:y>0.481</cdr:y>
    </cdr:from>
    <cdr:to>
      <cdr:x>0.59325</cdr:x>
      <cdr:y>0.5355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2181225"/>
          <a:ext cx="971550" cy="2476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Sat. Cond.</a:t>
          </a:r>
        </a:p>
      </cdr:txBody>
    </cdr:sp>
  </cdr:relSizeAnchor>
  <cdr:relSizeAnchor xmlns:cdr="http://schemas.openxmlformats.org/drawingml/2006/chartDrawing">
    <cdr:from>
      <cdr:x>0.21825</cdr:x>
      <cdr:y>0.5715</cdr:y>
    </cdr:from>
    <cdr:to>
      <cdr:x>0.363</cdr:x>
      <cdr:y>0.6895</cdr:y>
    </cdr:to>
    <cdr:sp>
      <cdr:nvSpPr>
        <cdr:cNvPr id="4" name="TextBox 4"/>
        <cdr:cNvSpPr txBox="1">
          <a:spLocks noChangeArrowheads="1"/>
        </cdr:cNvSpPr>
      </cdr:nvSpPr>
      <cdr:spPr>
        <a:xfrm>
          <a:off x="1495425" y="2590800"/>
          <a:ext cx="1000125" cy="5334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SiL: 
S=20, C=20, 
OM=2.5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0.1235</cdr:x>
      <cdr:y>0.5535</cdr:y>
    </cdr:from>
    <cdr:to>
      <cdr:x>0.3275</cdr:x>
      <cdr:y>0.6355</cdr:y>
    </cdr:to>
    <cdr:sp>
      <cdr:nvSpPr>
        <cdr:cNvPr id="1" name="TextBox 1"/>
        <cdr:cNvSpPr txBox="1">
          <a:spLocks noChangeArrowheads="1"/>
        </cdr:cNvSpPr>
      </cdr:nvSpPr>
      <cdr:spPr>
        <a:xfrm>
          <a:off x="1009650" y="3000375"/>
          <a:ext cx="1676400" cy="4476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Sandy Loam
S=0.63, C=0.10</a:t>
          </a:r>
        </a:p>
      </cdr:txBody>
    </cdr:sp>
  </cdr:relSizeAnchor>
  <cdr:relSizeAnchor xmlns:cdr="http://schemas.openxmlformats.org/drawingml/2006/chartDrawing">
    <cdr:from>
      <cdr:x>0.23025</cdr:x>
      <cdr:y>0.1625</cdr:y>
    </cdr:from>
    <cdr:to>
      <cdr:x>0.422</cdr:x>
      <cdr:y>0.2445</cdr:y>
    </cdr:to>
    <cdr:sp>
      <cdr:nvSpPr>
        <cdr:cNvPr id="2" name="TextBox 2"/>
        <cdr:cNvSpPr txBox="1">
          <a:spLocks noChangeArrowheads="1"/>
        </cdr:cNvSpPr>
      </cdr:nvSpPr>
      <cdr:spPr>
        <a:xfrm>
          <a:off x="1885950" y="876300"/>
          <a:ext cx="1571625" cy="4476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Silt Loam
S=0.15, C=0.18</a:t>
          </a:r>
        </a:p>
      </cdr:txBody>
    </cdr:sp>
  </cdr:relSizeAnchor>
  <cdr:relSizeAnchor xmlns:cdr="http://schemas.openxmlformats.org/drawingml/2006/chartDrawing">
    <cdr:from>
      <cdr:x>0.57025</cdr:x>
      <cdr:y>0.32125</cdr:y>
    </cdr:from>
    <cdr:to>
      <cdr:x>0.789</cdr:x>
      <cdr:y>0.443</cdr:y>
    </cdr:to>
    <cdr:sp>
      <cdr:nvSpPr>
        <cdr:cNvPr id="3" name="TextBox 3"/>
        <cdr:cNvSpPr txBox="1">
          <a:spLocks noChangeArrowheads="1"/>
        </cdr:cNvSpPr>
      </cdr:nvSpPr>
      <cdr:spPr>
        <a:xfrm>
          <a:off x="4676775" y="1743075"/>
          <a:ext cx="1800225" cy="6572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Clay Loam
S=0.29, C=0.32</a:t>
          </a:r>
        </a:p>
      </cdr:txBody>
    </cdr:sp>
  </cdr:relSizeAnchor>
  <cdr:relSizeAnchor xmlns:cdr="http://schemas.openxmlformats.org/drawingml/2006/chartDrawing">
    <cdr:from>
      <cdr:x>0.8315</cdr:x>
      <cdr:y>0.8565</cdr:y>
    </cdr:from>
    <cdr:to>
      <cdr:x>0.8315</cdr:x>
      <cdr:y>0.8565</cdr:y>
    </cdr:to>
    <cdr:sp>
      <cdr:nvSpPr>
        <cdr:cNvPr id="4" name="Line 4"/>
        <cdr:cNvSpPr>
          <a:spLocks/>
        </cdr:cNvSpPr>
      </cdr:nvSpPr>
      <cdr:spPr>
        <a:xfrm>
          <a:off x="68199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0.40375</cdr:x>
      <cdr:y>0.60225</cdr:y>
    </cdr:from>
    <cdr:to>
      <cdr:x>0.8315</cdr:x>
      <cdr:y>0.8265</cdr:y>
    </cdr:to>
    <cdr:sp>
      <cdr:nvSpPr>
        <cdr:cNvPr id="5" name="Line 5"/>
        <cdr:cNvSpPr>
          <a:spLocks/>
        </cdr:cNvSpPr>
      </cdr:nvSpPr>
      <cdr:spPr>
        <a:xfrm>
          <a:off x="3314700" y="3267075"/>
          <a:ext cx="3514725" cy="121920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0.65275</cdr:x>
      <cdr:y>0.60225</cdr:y>
    </cdr:from>
    <cdr:to>
      <cdr:x>0.8835</cdr:x>
      <cdr:y>0.7105</cdr:y>
    </cdr:to>
    <cdr:sp>
      <cdr:nvSpPr>
        <cdr:cNvPr id="6" name="Line 6"/>
        <cdr:cNvSpPr>
          <a:spLocks/>
        </cdr:cNvSpPr>
      </cdr:nvSpPr>
      <cdr:spPr>
        <a:xfrm>
          <a:off x="5353050" y="3267075"/>
          <a:ext cx="1895475" cy="59055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0.69875</cdr:x>
      <cdr:y>0.60225</cdr:y>
    </cdr:from>
    <cdr:to>
      <cdr:x>0.90175</cdr:x>
      <cdr:y>0.7685</cdr:y>
    </cdr:to>
    <cdr:sp>
      <cdr:nvSpPr>
        <cdr:cNvPr id="7" name="Line 7"/>
        <cdr:cNvSpPr>
          <a:spLocks/>
        </cdr:cNvSpPr>
      </cdr:nvSpPr>
      <cdr:spPr>
        <a:xfrm>
          <a:off x="5734050" y="3267075"/>
          <a:ext cx="1666875" cy="904875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0.7195</cdr:x>
      <cdr:y>0.16325</cdr:y>
    </cdr:from>
    <cdr:to>
      <cdr:x>0.9025</cdr:x>
      <cdr:y>0.23475</cdr:y>
    </cdr:to>
    <cdr:sp>
      <cdr:nvSpPr>
        <cdr:cNvPr id="8" name="TextBox 8"/>
        <cdr:cNvSpPr txBox="1">
          <a:spLocks noChangeArrowheads="1"/>
        </cdr:cNvSpPr>
      </cdr:nvSpPr>
      <cdr:spPr>
        <a:xfrm>
          <a:off x="5905500" y="885825"/>
          <a:ext cx="1504950" cy="3905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OM = 1.5 %w</a:t>
          </a:r>
        </a:p>
      </cdr:txBody>
    </cdr:sp>
  </cdr:relSizeAnchor>
  <cdr:relSizeAnchor xmlns:cdr="http://schemas.openxmlformats.org/drawingml/2006/chartDrawing">
    <cdr:from>
      <cdr:x>0.88425</cdr:x>
      <cdr:y>0.7105</cdr:y>
    </cdr:from>
    <cdr:to>
      <cdr:x>0.88425</cdr:x>
      <cdr:y>0.87675</cdr:y>
    </cdr:to>
    <cdr:sp>
      <cdr:nvSpPr>
        <cdr:cNvPr id="9" name="Line 9"/>
        <cdr:cNvSpPr>
          <a:spLocks/>
        </cdr:cNvSpPr>
      </cdr:nvSpPr>
      <cdr:spPr>
        <a:xfrm>
          <a:off x="7258050" y="3848100"/>
          <a:ext cx="0" cy="904875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0.8315</cdr:x>
      <cdr:y>0.825</cdr:y>
    </cdr:from>
    <cdr:to>
      <cdr:x>0.8315</cdr:x>
      <cdr:y>0.87675</cdr:y>
    </cdr:to>
    <cdr:sp>
      <cdr:nvSpPr>
        <cdr:cNvPr id="10" name="Line 10"/>
        <cdr:cNvSpPr>
          <a:spLocks/>
        </cdr:cNvSpPr>
      </cdr:nvSpPr>
      <cdr:spPr>
        <a:xfrm>
          <a:off x="6819900" y="4476750"/>
          <a:ext cx="0" cy="276225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0.90075</cdr:x>
      <cdr:y>0.76775</cdr:y>
    </cdr:from>
    <cdr:to>
      <cdr:x>0.90075</cdr:x>
      <cdr:y>0.87675</cdr:y>
    </cdr:to>
    <cdr:sp>
      <cdr:nvSpPr>
        <cdr:cNvPr id="11" name="Line 11"/>
        <cdr:cNvSpPr>
          <a:spLocks/>
        </cdr:cNvSpPr>
      </cdr:nvSpPr>
      <cdr:spPr>
        <a:xfrm>
          <a:off x="7391400" y="4162425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0.4475</cdr:x>
      <cdr:y>0.2925</cdr:y>
    </cdr:from>
    <cdr:to>
      <cdr:x>0.58125</cdr:x>
      <cdr:y>0.35125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1400175"/>
          <a:ext cx="9620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0.5%</a:t>
          </a:r>
        </a:p>
      </cdr:txBody>
    </cdr:sp>
  </cdr:relSizeAnchor>
  <cdr:relSizeAnchor xmlns:cdr="http://schemas.openxmlformats.org/drawingml/2006/chartDrawing">
    <cdr:from>
      <cdr:x>0.59375</cdr:x>
      <cdr:y>0.25025</cdr:y>
    </cdr:from>
    <cdr:to>
      <cdr:x>0.69625</cdr:x>
      <cdr:y>0.301</cdr:y>
    </cdr:to>
    <cdr:sp>
      <cdr:nvSpPr>
        <cdr:cNvPr id="2" name="TextBox 2"/>
        <cdr:cNvSpPr txBox="1">
          <a:spLocks noChangeArrowheads="1"/>
        </cdr:cNvSpPr>
      </cdr:nvSpPr>
      <cdr:spPr>
        <a:xfrm>
          <a:off x="4248150" y="1200150"/>
          <a:ext cx="733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2.5%</a:t>
          </a:r>
        </a:p>
      </cdr:txBody>
    </cdr:sp>
  </cdr:relSizeAnchor>
  <cdr:relSizeAnchor xmlns:cdr="http://schemas.openxmlformats.org/drawingml/2006/chartDrawing">
    <cdr:from>
      <cdr:x>0.67375</cdr:x>
      <cdr:y>0.29325</cdr:y>
    </cdr:from>
    <cdr:to>
      <cdr:x>0.77875</cdr:x>
      <cdr:y>0.336</cdr:y>
    </cdr:to>
    <cdr:sp>
      <cdr:nvSpPr>
        <cdr:cNvPr id="3" name="TextBox 3"/>
        <cdr:cNvSpPr txBox="1">
          <a:spLocks noChangeArrowheads="1"/>
        </cdr:cNvSpPr>
      </cdr:nvSpPr>
      <cdr:spPr>
        <a:xfrm>
          <a:off x="4819650" y="1409700"/>
          <a:ext cx="752475" cy="209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5.0%
</a:t>
          </a:r>
        </a:p>
      </cdr:txBody>
    </cdr:sp>
  </cdr:relSizeAnchor>
  <cdr:relSizeAnchor xmlns:cdr="http://schemas.openxmlformats.org/drawingml/2006/chartDrawing">
    <cdr:from>
      <cdr:x>0.73425</cdr:x>
      <cdr:y>0.336</cdr:y>
    </cdr:from>
    <cdr:to>
      <cdr:x>0.82925</cdr:x>
      <cdr:y>0.39775</cdr:y>
    </cdr:to>
    <cdr:sp>
      <cdr:nvSpPr>
        <cdr:cNvPr id="4" name="TextBox 4"/>
        <cdr:cNvSpPr txBox="1">
          <a:spLocks noChangeArrowheads="1"/>
        </cdr:cNvSpPr>
      </cdr:nvSpPr>
      <cdr:spPr>
        <a:xfrm>
          <a:off x="5257800" y="1609725"/>
          <a:ext cx="6762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7.50%</a:t>
          </a:r>
        </a:p>
      </cdr:txBody>
    </cdr:sp>
  </cdr:relSizeAnchor>
  <cdr:relSizeAnchor xmlns:cdr="http://schemas.openxmlformats.org/drawingml/2006/chartDrawing">
    <cdr:from>
      <cdr:x>0.7195</cdr:x>
      <cdr:y>0.629</cdr:y>
    </cdr:from>
    <cdr:to>
      <cdr:x>0.941</cdr:x>
      <cdr:y>0.755</cdr:y>
    </cdr:to>
    <cdr:sp>
      <cdr:nvSpPr>
        <cdr:cNvPr id="5" name="TextBox 5"/>
        <cdr:cNvSpPr txBox="1">
          <a:spLocks noChangeArrowheads="1"/>
        </cdr:cNvSpPr>
      </cdr:nvSpPr>
      <cdr:spPr>
        <a:xfrm>
          <a:off x="5153025" y="3019425"/>
          <a:ext cx="1590675" cy="609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75" b="1" i="0" u="none" baseline="0">
              <a:latin typeface="Arial"/>
              <a:ea typeface="Arial"/>
              <a:cs typeface="Arial"/>
            </a:rPr>
            <a:t>Silt Loam
 (S=20, C=20)</a:t>
          </a:r>
        </a:p>
      </cdr:txBody>
    </cdr:sp>
  </cdr:relSizeAnchor>
  <cdr:relSizeAnchor xmlns:cdr="http://schemas.openxmlformats.org/drawingml/2006/chartDrawing">
    <cdr:from>
      <cdr:x>0.3225</cdr:x>
      <cdr:y>0.20375</cdr:y>
    </cdr:from>
    <cdr:to>
      <cdr:x>0.58825</cdr:x>
      <cdr:y>0.27025</cdr:y>
    </cdr:to>
    <cdr:sp>
      <cdr:nvSpPr>
        <cdr:cNvPr id="6" name="TextBox 6"/>
        <cdr:cNvSpPr txBox="1">
          <a:spLocks noChangeArrowheads="1"/>
        </cdr:cNvSpPr>
      </cdr:nvSpPr>
      <cdr:spPr>
        <a:xfrm>
          <a:off x="2305050" y="971550"/>
          <a:ext cx="1905000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25" b="1" i="0" u="none" baseline="0">
              <a:latin typeface="Arial"/>
              <a:ea typeface="Arial"/>
              <a:cs typeface="Arial"/>
            </a:rPr>
            <a:t>Organic Matter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0.6685</cdr:x>
      <cdr:y>0.21925</cdr:y>
    </cdr:from>
    <cdr:to>
      <cdr:x>0.8615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5353050" y="1095375"/>
          <a:ext cx="1543050" cy="619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Silt Loam
 (S=20, C=20)</a:t>
          </a:r>
        </a:p>
      </cdr:txBody>
    </cdr:sp>
  </cdr:relSizeAnchor>
  <cdr:relSizeAnchor xmlns:cdr="http://schemas.openxmlformats.org/drawingml/2006/chartDrawing">
    <cdr:from>
      <cdr:x>0.1695</cdr:x>
      <cdr:y>0.47675</cdr:y>
    </cdr:from>
    <cdr:to>
      <cdr:x>0.24725</cdr:x>
      <cdr:y>0.52925</cdr:y>
    </cdr:to>
    <cdr:sp>
      <cdr:nvSpPr>
        <cdr:cNvPr id="2" name="TextBox 2"/>
        <cdr:cNvSpPr txBox="1">
          <a:spLocks noChangeArrowheads="1"/>
        </cdr:cNvSpPr>
      </cdr:nvSpPr>
      <cdr:spPr>
        <a:xfrm>
          <a:off x="1352550" y="2390775"/>
          <a:ext cx="619125" cy="2667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0.50%</a:t>
          </a:r>
        </a:p>
      </cdr:txBody>
    </cdr:sp>
  </cdr:relSizeAnchor>
  <cdr:relSizeAnchor xmlns:cdr="http://schemas.openxmlformats.org/drawingml/2006/chartDrawing">
    <cdr:from>
      <cdr:x>0.24725</cdr:x>
      <cdr:y>0.52925</cdr:y>
    </cdr:from>
    <cdr:to>
      <cdr:x>0.32425</cdr:x>
      <cdr:y>0.582</cdr:y>
    </cdr:to>
    <cdr:sp>
      <cdr:nvSpPr>
        <cdr:cNvPr id="3" name="TextBox 3"/>
        <cdr:cNvSpPr txBox="1">
          <a:spLocks noChangeArrowheads="1"/>
        </cdr:cNvSpPr>
      </cdr:nvSpPr>
      <cdr:spPr>
        <a:xfrm>
          <a:off x="1971675" y="2657475"/>
          <a:ext cx="619125" cy="2667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2.50%</a:t>
          </a:r>
        </a:p>
      </cdr:txBody>
    </cdr:sp>
  </cdr:relSizeAnchor>
  <cdr:relSizeAnchor xmlns:cdr="http://schemas.openxmlformats.org/drawingml/2006/chartDrawing">
    <cdr:from>
      <cdr:x>0.4125</cdr:x>
      <cdr:y>0.407</cdr:y>
    </cdr:from>
    <cdr:to>
      <cdr:x>0.49025</cdr:x>
      <cdr:y>0.45975</cdr:y>
    </cdr:to>
    <cdr:sp>
      <cdr:nvSpPr>
        <cdr:cNvPr id="4" name="TextBox 4"/>
        <cdr:cNvSpPr txBox="1">
          <a:spLocks noChangeArrowheads="1"/>
        </cdr:cNvSpPr>
      </cdr:nvSpPr>
      <cdr:spPr>
        <a:xfrm>
          <a:off x="3295650" y="2038350"/>
          <a:ext cx="619125" cy="2667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5.00%</a:t>
          </a:r>
        </a:p>
      </cdr:txBody>
    </cdr:sp>
  </cdr:relSizeAnchor>
  <cdr:relSizeAnchor xmlns:cdr="http://schemas.openxmlformats.org/drawingml/2006/chartDrawing">
    <cdr:from>
      <cdr:x>0.54675</cdr:x>
      <cdr:y>0.49675</cdr:y>
    </cdr:from>
    <cdr:to>
      <cdr:x>0.62425</cdr:x>
      <cdr:y>0.5495</cdr:y>
    </cdr:to>
    <cdr:sp>
      <cdr:nvSpPr>
        <cdr:cNvPr id="5" name="TextBox 5"/>
        <cdr:cNvSpPr txBox="1">
          <a:spLocks noChangeArrowheads="1"/>
        </cdr:cNvSpPr>
      </cdr:nvSpPr>
      <cdr:spPr>
        <a:xfrm>
          <a:off x="4371975" y="2495550"/>
          <a:ext cx="619125" cy="2667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7.50%</a:t>
          </a:r>
        </a:p>
      </cdr:txBody>
    </cdr:sp>
  </cdr:relSizeAnchor>
  <cdr:relSizeAnchor xmlns:cdr="http://schemas.openxmlformats.org/drawingml/2006/chartDrawing">
    <cdr:from>
      <cdr:x>0.36675</cdr:x>
      <cdr:y>0.4345</cdr:y>
    </cdr:from>
    <cdr:to>
      <cdr:x>0.4125</cdr:x>
      <cdr:y>0.49675</cdr:y>
    </cdr:to>
    <cdr:sp>
      <cdr:nvSpPr>
        <cdr:cNvPr id="6" name="Line 6"/>
        <cdr:cNvSpPr>
          <a:spLocks/>
        </cdr:cNvSpPr>
      </cdr:nvSpPr>
      <cdr:spPr>
        <a:xfrm flipH="1">
          <a:off x="2933700" y="2181225"/>
          <a:ext cx="36195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0.32425</cdr:x>
      <cdr:y>0.54175</cdr:y>
    </cdr:from>
    <cdr:to>
      <cdr:x>0.379</cdr:x>
      <cdr:y>0.56175</cdr:y>
    </cdr:to>
    <cdr:sp>
      <cdr:nvSpPr>
        <cdr:cNvPr id="7" name="Line 7"/>
        <cdr:cNvSpPr>
          <a:spLocks/>
        </cdr:cNvSpPr>
      </cdr:nvSpPr>
      <cdr:spPr>
        <a:xfrm flipV="1">
          <a:off x="2590800" y="2724150"/>
          <a:ext cx="4381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0.24725</cdr:x>
      <cdr:y>0.45975</cdr:y>
    </cdr:from>
    <cdr:to>
      <cdr:x>0.284</cdr:x>
      <cdr:y>0.49675</cdr:y>
    </cdr:to>
    <cdr:sp>
      <cdr:nvSpPr>
        <cdr:cNvPr id="8" name="Line 8"/>
        <cdr:cNvSpPr>
          <a:spLocks/>
        </cdr:cNvSpPr>
      </cdr:nvSpPr>
      <cdr:spPr>
        <a:xfrm flipV="1">
          <a:off x="1971675" y="2305050"/>
          <a:ext cx="295275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0.49925</cdr:x>
      <cdr:y>0.52925</cdr:y>
    </cdr:from>
    <cdr:to>
      <cdr:x>0.54675</cdr:x>
      <cdr:y>0.582</cdr:y>
    </cdr:to>
    <cdr:sp>
      <cdr:nvSpPr>
        <cdr:cNvPr id="9" name="Line 9"/>
        <cdr:cNvSpPr>
          <a:spLocks/>
        </cdr:cNvSpPr>
      </cdr:nvSpPr>
      <cdr:spPr>
        <a:xfrm flipH="1">
          <a:off x="3990975" y="2657475"/>
          <a:ext cx="38100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0.27825</cdr:x>
      <cdr:y>0.27975</cdr:y>
    </cdr:from>
    <cdr:to>
      <cdr:x>0.54675</cdr:x>
      <cdr:y>0.342</cdr:y>
    </cdr:to>
    <cdr:sp>
      <cdr:nvSpPr>
        <cdr:cNvPr id="10" name="TextBox 10"/>
        <cdr:cNvSpPr txBox="1">
          <a:spLocks noChangeArrowheads="1"/>
        </cdr:cNvSpPr>
      </cdr:nvSpPr>
      <cdr:spPr>
        <a:xfrm>
          <a:off x="2228850" y="1400175"/>
          <a:ext cx="2152650" cy="3143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Organic Matter, %w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0.21725</cdr:x>
      <cdr:y>0.20475</cdr:y>
    </cdr:from>
    <cdr:to>
      <cdr:x>0.43275</cdr:x>
      <cdr:y>0.37975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838200"/>
          <a:ext cx="1438275" cy="7239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Silt Loam 
S=0.20, C=0.20
OM = 2.5
</a:t>
          </a:r>
        </a:p>
      </cdr:txBody>
    </cdr:sp>
  </cdr:relSizeAnchor>
  <cdr:relSizeAnchor xmlns:cdr="http://schemas.openxmlformats.org/drawingml/2006/chartDrawing">
    <cdr:from>
      <cdr:x>0.589</cdr:x>
      <cdr:y>0.17925</cdr:y>
    </cdr:from>
    <cdr:to>
      <cdr:x>0.8125</cdr:x>
      <cdr:y>0.23675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33825" y="733425"/>
          <a:ext cx="1495425" cy="2381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Density Factor:</a:t>
          </a:r>
        </a:p>
      </cdr:txBody>
    </cdr:sp>
  </cdr:relSizeAnchor>
  <cdr:relSizeAnchor xmlns:cdr="http://schemas.openxmlformats.org/drawingml/2006/chartDrawing">
    <cdr:from>
      <cdr:x>0.8445</cdr:x>
      <cdr:y>0.18</cdr:y>
    </cdr:from>
    <cdr:to>
      <cdr:x>0.91575</cdr:x>
      <cdr:y>0.2375</cdr:y>
    </cdr:to>
    <cdr:sp>
      <cdr:nvSpPr>
        <cdr:cNvPr id="3" name="TextBox 3"/>
        <cdr:cNvSpPr txBox="1">
          <a:spLocks noChangeArrowheads="1"/>
        </cdr:cNvSpPr>
      </cdr:nvSpPr>
      <cdr:spPr>
        <a:xfrm>
          <a:off x="5638800" y="742950"/>
          <a:ext cx="476250" cy="2381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0.9</a:t>
          </a:r>
        </a:p>
      </cdr:txBody>
    </cdr:sp>
  </cdr:relSizeAnchor>
  <cdr:relSizeAnchor xmlns:cdr="http://schemas.openxmlformats.org/drawingml/2006/chartDrawing">
    <cdr:from>
      <cdr:x>0.84525</cdr:x>
      <cdr:y>0.2375</cdr:y>
    </cdr:from>
    <cdr:to>
      <cdr:x>0.91675</cdr:x>
      <cdr:y>0.29175</cdr:y>
    </cdr:to>
    <cdr:sp>
      <cdr:nvSpPr>
        <cdr:cNvPr id="4" name="TextBox 4"/>
        <cdr:cNvSpPr txBox="1">
          <a:spLocks noChangeArrowheads="1"/>
        </cdr:cNvSpPr>
      </cdr:nvSpPr>
      <cdr:spPr>
        <a:xfrm>
          <a:off x="5648325" y="981075"/>
          <a:ext cx="476250" cy="228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0.84525</cdr:x>
      <cdr:y>0.29225</cdr:y>
    </cdr:from>
    <cdr:to>
      <cdr:x>0.9175</cdr:x>
      <cdr:y>0.34725</cdr:y>
    </cdr:to>
    <cdr:sp>
      <cdr:nvSpPr>
        <cdr:cNvPr id="5" name="TextBox 5"/>
        <cdr:cNvSpPr txBox="1">
          <a:spLocks noChangeArrowheads="1"/>
        </cdr:cNvSpPr>
      </cdr:nvSpPr>
      <cdr:spPr>
        <a:xfrm>
          <a:off x="5648325" y="1200150"/>
          <a:ext cx="485775" cy="228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1.1</a:t>
          </a:r>
        </a:p>
      </cdr:txBody>
    </cdr:sp>
  </cdr:relSizeAnchor>
  <cdr:relSizeAnchor xmlns:cdr="http://schemas.openxmlformats.org/drawingml/2006/chartDrawing">
    <cdr:from>
      <cdr:x>0.84525</cdr:x>
      <cdr:y>0.3635</cdr:y>
    </cdr:from>
    <cdr:to>
      <cdr:x>0.9175</cdr:x>
      <cdr:y>0.41575</cdr:y>
    </cdr:to>
    <cdr:sp>
      <cdr:nvSpPr>
        <cdr:cNvPr id="6" name="TextBox 6"/>
        <cdr:cNvSpPr txBox="1">
          <a:spLocks noChangeArrowheads="1"/>
        </cdr:cNvSpPr>
      </cdr:nvSpPr>
      <cdr:spPr>
        <a:xfrm>
          <a:off x="5648325" y="1495425"/>
          <a:ext cx="48577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1.2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0.12725</cdr:y>
    </cdr:from>
    <cdr:to>
      <cdr:x>0.74</cdr:x>
      <cdr:y>0.24325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676275"/>
          <a:ext cx="1590675" cy="6191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Sandy Loam 
S=0.63, C=0.10</a:t>
          </a:r>
        </a:p>
      </cdr:txBody>
    </cdr:sp>
  </cdr:relSizeAnchor>
  <cdr:relSizeAnchor xmlns:cdr="http://schemas.openxmlformats.org/drawingml/2006/chartDrawing">
    <cdr:from>
      <cdr:x>0.764</cdr:x>
      <cdr:y>0.548</cdr:y>
    </cdr:from>
    <cdr:to>
      <cdr:x>0.94925</cdr:x>
      <cdr:y>0.65075</cdr:y>
    </cdr:to>
    <cdr:sp>
      <cdr:nvSpPr>
        <cdr:cNvPr id="2" name="TextBox 2"/>
        <cdr:cNvSpPr txBox="1">
          <a:spLocks noChangeArrowheads="1"/>
        </cdr:cNvSpPr>
      </cdr:nvSpPr>
      <cdr:spPr>
        <a:xfrm>
          <a:off x="5838825" y="2924175"/>
          <a:ext cx="1419225" cy="552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Clay Loam 
S=0.29, C=0.32</a:t>
          </a:r>
        </a:p>
      </cdr:txBody>
    </cdr:sp>
  </cdr:relSizeAnchor>
  <cdr:relSizeAnchor xmlns:cdr="http://schemas.openxmlformats.org/drawingml/2006/chartDrawing">
    <cdr:from>
      <cdr:x>0.36775</cdr:x>
      <cdr:y>0.37225</cdr:y>
    </cdr:from>
    <cdr:to>
      <cdr:x>0.5795</cdr:x>
      <cdr:y>0.475</cdr:y>
    </cdr:to>
    <cdr:sp>
      <cdr:nvSpPr>
        <cdr:cNvPr id="3" name="TextBox 3"/>
        <cdr:cNvSpPr txBox="1">
          <a:spLocks noChangeArrowheads="1"/>
        </cdr:cNvSpPr>
      </cdr:nvSpPr>
      <cdr:spPr>
        <a:xfrm>
          <a:off x="2809875" y="1981200"/>
          <a:ext cx="1619250" cy="552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Silt Loam 
S=0.15 S=0.18</a:t>
          </a:r>
        </a:p>
      </cdr:txBody>
    </cdr:sp>
  </cdr:relSizeAnchor>
  <cdr:relSizeAnchor xmlns:cdr="http://schemas.openxmlformats.org/drawingml/2006/chartDrawing">
    <cdr:from>
      <cdr:x>0.56125</cdr:x>
      <cdr:y>0.4125</cdr:y>
    </cdr:from>
    <cdr:to>
      <cdr:x>0.689</cdr:x>
      <cdr:y>0.47425</cdr:y>
    </cdr:to>
    <cdr:sp>
      <cdr:nvSpPr>
        <cdr:cNvPr id="4" name="Line 4"/>
        <cdr:cNvSpPr>
          <a:spLocks/>
        </cdr:cNvSpPr>
      </cdr:nvSpPr>
      <cdr:spPr>
        <a:xfrm>
          <a:off x="4286250" y="2200275"/>
          <a:ext cx="981075" cy="3333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0.183</cdr:x>
      <cdr:y>0.1455</cdr:y>
    </cdr:from>
    <cdr:to>
      <cdr:x>0.352</cdr:x>
      <cdr:y>0.206</cdr:y>
    </cdr:to>
    <cdr:sp>
      <cdr:nvSpPr>
        <cdr:cNvPr id="5" name="TextBox 5"/>
        <cdr:cNvSpPr txBox="1">
          <a:spLocks noChangeArrowheads="1"/>
        </cdr:cNvSpPr>
      </cdr:nvSpPr>
      <cdr:spPr>
        <a:xfrm>
          <a:off x="1390650" y="771525"/>
          <a:ext cx="1295400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OM = 1.5 %w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857250</xdr:colOff>
      <xdr:row>46</xdr:row>
      <xdr:rowOff>114300</xdr:rowOff>
    </xdr:from>
    <xdr:to>
      <xdr:col>63</xdr:col>
      <xdr:colOff>352425</xdr:colOff>
      <xdr:row>71</xdr:row>
      <xdr:rowOff>19050</xdr:rowOff>
    </xdr:to>
    <xdr:graphicFrame>
      <xdr:nvGraphicFramePr>
        <xdr:cNvPr id="1" name="Chart 1"/>
        <xdr:cNvGraphicFramePr/>
      </xdr:nvGraphicFramePr>
      <xdr:xfrm>
        <a:off x="43738800" y="9039225"/>
        <a:ext cx="74676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64</xdr:col>
      <xdr:colOff>438150</xdr:colOff>
      <xdr:row>49</xdr:row>
      <xdr:rowOff>85725</xdr:rowOff>
    </xdr:from>
    <xdr:to>
      <xdr:col>75</xdr:col>
      <xdr:colOff>161925</xdr:colOff>
      <xdr:row>73</xdr:row>
      <xdr:rowOff>57150</xdr:rowOff>
    </xdr:to>
    <xdr:graphicFrame>
      <xdr:nvGraphicFramePr>
        <xdr:cNvPr id="2" name="Chart 2"/>
        <xdr:cNvGraphicFramePr/>
      </xdr:nvGraphicFramePr>
      <xdr:xfrm>
        <a:off x="52092225" y="9582150"/>
        <a:ext cx="68865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61</xdr:col>
      <xdr:colOff>19050</xdr:colOff>
      <xdr:row>73</xdr:row>
      <xdr:rowOff>19050</xdr:rowOff>
    </xdr:from>
    <xdr:to>
      <xdr:col>61</xdr:col>
      <xdr:colOff>28575</xdr:colOff>
      <xdr:row>73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49349025" y="14087475"/>
          <a:ext cx="1905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695325</xdr:colOff>
      <xdr:row>51</xdr:row>
      <xdr:rowOff>171450</xdr:rowOff>
    </xdr:from>
    <xdr:to>
      <xdr:col>64</xdr:col>
      <xdr:colOff>133350</xdr:colOff>
      <xdr:row>80</xdr:row>
      <xdr:rowOff>47625</xdr:rowOff>
    </xdr:to>
    <xdr:graphicFrame>
      <xdr:nvGraphicFramePr>
        <xdr:cNvPr id="4" name="Chart 4"/>
        <xdr:cNvGraphicFramePr/>
      </xdr:nvGraphicFramePr>
      <xdr:xfrm>
        <a:off x="43576875" y="10048875"/>
        <a:ext cx="8210550" cy="542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64</xdr:col>
      <xdr:colOff>723900</xdr:colOff>
      <xdr:row>54</xdr:row>
      <xdr:rowOff>123825</xdr:rowOff>
    </xdr:from>
    <xdr:to>
      <xdr:col>76</xdr:col>
      <xdr:colOff>142875</xdr:colOff>
      <xdr:row>79</xdr:row>
      <xdr:rowOff>142875</xdr:rowOff>
    </xdr:to>
    <xdr:graphicFrame>
      <xdr:nvGraphicFramePr>
        <xdr:cNvPr id="5" name="Chart 5"/>
        <xdr:cNvGraphicFramePr/>
      </xdr:nvGraphicFramePr>
      <xdr:xfrm>
        <a:off x="52377975" y="10572750"/>
        <a:ext cx="7162800" cy="4810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56</xdr:col>
      <xdr:colOff>457200</xdr:colOff>
      <xdr:row>55</xdr:row>
      <xdr:rowOff>104775</xdr:rowOff>
    </xdr:from>
    <xdr:to>
      <xdr:col>64</xdr:col>
      <xdr:colOff>695325</xdr:colOff>
      <xdr:row>81</xdr:row>
      <xdr:rowOff>152400</xdr:rowOff>
    </xdr:to>
    <xdr:graphicFrame>
      <xdr:nvGraphicFramePr>
        <xdr:cNvPr id="6" name="Chart 6"/>
        <xdr:cNvGraphicFramePr/>
      </xdr:nvGraphicFramePr>
      <xdr:xfrm>
        <a:off x="44338875" y="10744200"/>
        <a:ext cx="8010525" cy="5029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 fPrintsWithSheet="0"/>
  </xdr:twoCellAnchor>
  <xdr:twoCellAnchor>
    <xdr:from>
      <xdr:col>65</xdr:col>
      <xdr:colOff>276225</xdr:colOff>
      <xdr:row>58</xdr:row>
      <xdr:rowOff>180975</xdr:rowOff>
    </xdr:from>
    <xdr:to>
      <xdr:col>76</xdr:col>
      <xdr:colOff>66675</xdr:colOff>
      <xdr:row>80</xdr:row>
      <xdr:rowOff>95250</xdr:rowOff>
    </xdr:to>
    <xdr:graphicFrame>
      <xdr:nvGraphicFramePr>
        <xdr:cNvPr id="7" name="Chart 7"/>
        <xdr:cNvGraphicFramePr/>
      </xdr:nvGraphicFramePr>
      <xdr:xfrm>
        <a:off x="52778025" y="11391900"/>
        <a:ext cx="6686550" cy="4133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66</xdr:col>
      <xdr:colOff>180975</xdr:colOff>
      <xdr:row>62</xdr:row>
      <xdr:rowOff>171450</xdr:rowOff>
    </xdr:from>
    <xdr:to>
      <xdr:col>78</xdr:col>
      <xdr:colOff>352425</xdr:colOff>
      <xdr:row>90</xdr:row>
      <xdr:rowOff>152400</xdr:rowOff>
    </xdr:to>
    <xdr:graphicFrame>
      <xdr:nvGraphicFramePr>
        <xdr:cNvPr id="8" name="Chart 8"/>
        <xdr:cNvGraphicFramePr/>
      </xdr:nvGraphicFramePr>
      <xdr:xfrm>
        <a:off x="53263800" y="12144375"/>
        <a:ext cx="7648575" cy="5343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0.20325</cdr:y>
    </cdr:from>
    <cdr:to>
      <cdr:x>0.78125</cdr:x>
      <cdr:y>0.26925</cdr:y>
    </cdr:to>
    <cdr:sp>
      <cdr:nvSpPr>
        <cdr:cNvPr id="1" name="TextBox 1"/>
        <cdr:cNvSpPr txBox="1">
          <a:spLocks noChangeArrowheads="1"/>
        </cdr:cNvSpPr>
      </cdr:nvSpPr>
      <cdr:spPr>
        <a:xfrm>
          <a:off x="4533900" y="914400"/>
          <a:ext cx="838200" cy="2952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Bulk Den.</a:t>
          </a:r>
        </a:p>
      </cdr:txBody>
    </cdr:sp>
  </cdr:relSizeAnchor>
  <cdr:relSizeAnchor xmlns:cdr="http://schemas.openxmlformats.org/drawingml/2006/chartDrawing">
    <cdr:from>
      <cdr:x>0.6605</cdr:x>
      <cdr:y>0.7365</cdr:y>
    </cdr:from>
    <cdr:to>
      <cdr:x>0.77975</cdr:x>
      <cdr:y>0.798</cdr:y>
    </cdr:to>
    <cdr:sp>
      <cdr:nvSpPr>
        <cdr:cNvPr id="2" name="TextBox 2"/>
        <cdr:cNvSpPr txBox="1">
          <a:spLocks noChangeArrowheads="1"/>
        </cdr:cNvSpPr>
      </cdr:nvSpPr>
      <cdr:spPr>
        <a:xfrm>
          <a:off x="4543425" y="3343275"/>
          <a:ext cx="819150" cy="2762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Gravel, %v</a:t>
          </a:r>
        </a:p>
      </cdr:txBody>
    </cdr:sp>
  </cdr:relSizeAnchor>
  <cdr:relSizeAnchor xmlns:cdr="http://schemas.openxmlformats.org/drawingml/2006/chartDrawing">
    <cdr:from>
      <cdr:x>0.45275</cdr:x>
      <cdr:y>0.47975</cdr:y>
    </cdr:from>
    <cdr:to>
      <cdr:x>0.594</cdr:x>
      <cdr:y>0.53475</cdr:y>
    </cdr:to>
    <cdr:sp>
      <cdr:nvSpPr>
        <cdr:cNvPr id="3" name="TextBox 3"/>
        <cdr:cNvSpPr txBox="1">
          <a:spLocks noChangeArrowheads="1"/>
        </cdr:cNvSpPr>
      </cdr:nvSpPr>
      <cdr:spPr>
        <a:xfrm>
          <a:off x="3114675" y="2171700"/>
          <a:ext cx="971550" cy="2476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Sat. Cond.</a:t>
          </a:r>
        </a:p>
      </cdr:txBody>
    </cdr:sp>
  </cdr:relSizeAnchor>
  <cdr:relSizeAnchor xmlns:cdr="http://schemas.openxmlformats.org/drawingml/2006/chartDrawing">
    <cdr:from>
      <cdr:x>0.2195</cdr:x>
      <cdr:y>0.57075</cdr:y>
    </cdr:from>
    <cdr:to>
      <cdr:x>0.36425</cdr:x>
      <cdr:y>0.689</cdr:y>
    </cdr:to>
    <cdr:sp>
      <cdr:nvSpPr>
        <cdr:cNvPr id="4" name="TextBox 4"/>
        <cdr:cNvSpPr txBox="1">
          <a:spLocks noChangeArrowheads="1"/>
        </cdr:cNvSpPr>
      </cdr:nvSpPr>
      <cdr:spPr>
        <a:xfrm>
          <a:off x="1504950" y="2590800"/>
          <a:ext cx="1000125" cy="5334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SiL: 
S=20, C=20, 
OM=2.5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0.1235</cdr:x>
      <cdr:y>0.5535</cdr:y>
    </cdr:from>
    <cdr:to>
      <cdr:x>0.3275</cdr:x>
      <cdr:y>0.6355</cdr:y>
    </cdr:to>
    <cdr:sp>
      <cdr:nvSpPr>
        <cdr:cNvPr id="1" name="TextBox 1"/>
        <cdr:cNvSpPr txBox="1">
          <a:spLocks noChangeArrowheads="1"/>
        </cdr:cNvSpPr>
      </cdr:nvSpPr>
      <cdr:spPr>
        <a:xfrm>
          <a:off x="1009650" y="3000375"/>
          <a:ext cx="1676400" cy="4476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Sandy Loam
S=0.63, C=0.10</a:t>
          </a:r>
        </a:p>
      </cdr:txBody>
    </cdr:sp>
  </cdr:relSizeAnchor>
  <cdr:relSizeAnchor xmlns:cdr="http://schemas.openxmlformats.org/drawingml/2006/chartDrawing">
    <cdr:from>
      <cdr:x>0.23025</cdr:x>
      <cdr:y>0.1625</cdr:y>
    </cdr:from>
    <cdr:to>
      <cdr:x>0.422</cdr:x>
      <cdr:y>0.2445</cdr:y>
    </cdr:to>
    <cdr:sp>
      <cdr:nvSpPr>
        <cdr:cNvPr id="2" name="TextBox 2"/>
        <cdr:cNvSpPr txBox="1">
          <a:spLocks noChangeArrowheads="1"/>
        </cdr:cNvSpPr>
      </cdr:nvSpPr>
      <cdr:spPr>
        <a:xfrm>
          <a:off x="1885950" y="876300"/>
          <a:ext cx="1571625" cy="4476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Silt Loam
S=0.15, C=0.18</a:t>
          </a:r>
        </a:p>
      </cdr:txBody>
    </cdr:sp>
  </cdr:relSizeAnchor>
  <cdr:relSizeAnchor xmlns:cdr="http://schemas.openxmlformats.org/drawingml/2006/chartDrawing">
    <cdr:from>
      <cdr:x>0.57025</cdr:x>
      <cdr:y>0.32125</cdr:y>
    </cdr:from>
    <cdr:to>
      <cdr:x>0.789</cdr:x>
      <cdr:y>0.443</cdr:y>
    </cdr:to>
    <cdr:sp>
      <cdr:nvSpPr>
        <cdr:cNvPr id="3" name="TextBox 3"/>
        <cdr:cNvSpPr txBox="1">
          <a:spLocks noChangeArrowheads="1"/>
        </cdr:cNvSpPr>
      </cdr:nvSpPr>
      <cdr:spPr>
        <a:xfrm>
          <a:off x="4676775" y="1743075"/>
          <a:ext cx="1800225" cy="6572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Clay Loam
S=0.29, C=0.32</a:t>
          </a:r>
        </a:p>
      </cdr:txBody>
    </cdr:sp>
  </cdr:relSizeAnchor>
  <cdr:relSizeAnchor xmlns:cdr="http://schemas.openxmlformats.org/drawingml/2006/chartDrawing">
    <cdr:from>
      <cdr:x>0.8315</cdr:x>
      <cdr:y>0.8565</cdr:y>
    </cdr:from>
    <cdr:to>
      <cdr:x>0.8315</cdr:x>
      <cdr:y>0.8565</cdr:y>
    </cdr:to>
    <cdr:sp>
      <cdr:nvSpPr>
        <cdr:cNvPr id="4" name="Line 4"/>
        <cdr:cNvSpPr>
          <a:spLocks/>
        </cdr:cNvSpPr>
      </cdr:nvSpPr>
      <cdr:spPr>
        <a:xfrm>
          <a:off x="68199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0.40375</cdr:x>
      <cdr:y>0.60225</cdr:y>
    </cdr:from>
    <cdr:to>
      <cdr:x>0.8315</cdr:x>
      <cdr:y>0.8265</cdr:y>
    </cdr:to>
    <cdr:sp>
      <cdr:nvSpPr>
        <cdr:cNvPr id="5" name="Line 5"/>
        <cdr:cNvSpPr>
          <a:spLocks/>
        </cdr:cNvSpPr>
      </cdr:nvSpPr>
      <cdr:spPr>
        <a:xfrm>
          <a:off x="3314700" y="3267075"/>
          <a:ext cx="3514725" cy="121920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0.65275</cdr:x>
      <cdr:y>0.60225</cdr:y>
    </cdr:from>
    <cdr:to>
      <cdr:x>0.8835</cdr:x>
      <cdr:y>0.7105</cdr:y>
    </cdr:to>
    <cdr:sp>
      <cdr:nvSpPr>
        <cdr:cNvPr id="6" name="Line 6"/>
        <cdr:cNvSpPr>
          <a:spLocks/>
        </cdr:cNvSpPr>
      </cdr:nvSpPr>
      <cdr:spPr>
        <a:xfrm>
          <a:off x="5353050" y="3267075"/>
          <a:ext cx="1895475" cy="59055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0.69875</cdr:x>
      <cdr:y>0.60225</cdr:y>
    </cdr:from>
    <cdr:to>
      <cdr:x>0.90175</cdr:x>
      <cdr:y>0.7685</cdr:y>
    </cdr:to>
    <cdr:sp>
      <cdr:nvSpPr>
        <cdr:cNvPr id="7" name="Line 7"/>
        <cdr:cNvSpPr>
          <a:spLocks/>
        </cdr:cNvSpPr>
      </cdr:nvSpPr>
      <cdr:spPr>
        <a:xfrm>
          <a:off x="5734050" y="3267075"/>
          <a:ext cx="1666875" cy="904875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0.7195</cdr:x>
      <cdr:y>0.16325</cdr:y>
    </cdr:from>
    <cdr:to>
      <cdr:x>0.9025</cdr:x>
      <cdr:y>0.23475</cdr:y>
    </cdr:to>
    <cdr:sp>
      <cdr:nvSpPr>
        <cdr:cNvPr id="8" name="TextBox 8"/>
        <cdr:cNvSpPr txBox="1">
          <a:spLocks noChangeArrowheads="1"/>
        </cdr:cNvSpPr>
      </cdr:nvSpPr>
      <cdr:spPr>
        <a:xfrm>
          <a:off x="5905500" y="885825"/>
          <a:ext cx="1504950" cy="3905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OM = 1.5 %w</a:t>
          </a:r>
        </a:p>
      </cdr:txBody>
    </cdr:sp>
  </cdr:relSizeAnchor>
  <cdr:relSizeAnchor xmlns:cdr="http://schemas.openxmlformats.org/drawingml/2006/chartDrawing">
    <cdr:from>
      <cdr:x>0.88425</cdr:x>
      <cdr:y>0.7105</cdr:y>
    </cdr:from>
    <cdr:to>
      <cdr:x>0.88425</cdr:x>
      <cdr:y>0.87675</cdr:y>
    </cdr:to>
    <cdr:sp>
      <cdr:nvSpPr>
        <cdr:cNvPr id="9" name="Line 9"/>
        <cdr:cNvSpPr>
          <a:spLocks/>
        </cdr:cNvSpPr>
      </cdr:nvSpPr>
      <cdr:spPr>
        <a:xfrm>
          <a:off x="7258050" y="3848100"/>
          <a:ext cx="0" cy="904875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0.8315</cdr:x>
      <cdr:y>0.825</cdr:y>
    </cdr:from>
    <cdr:to>
      <cdr:x>0.8315</cdr:x>
      <cdr:y>0.87675</cdr:y>
    </cdr:to>
    <cdr:sp>
      <cdr:nvSpPr>
        <cdr:cNvPr id="10" name="Line 10"/>
        <cdr:cNvSpPr>
          <a:spLocks/>
        </cdr:cNvSpPr>
      </cdr:nvSpPr>
      <cdr:spPr>
        <a:xfrm>
          <a:off x="6819900" y="4476750"/>
          <a:ext cx="0" cy="276225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0.90075</cdr:x>
      <cdr:y>0.76775</cdr:y>
    </cdr:from>
    <cdr:to>
      <cdr:x>0.90075</cdr:x>
      <cdr:y>0.87675</cdr:y>
    </cdr:to>
    <cdr:sp>
      <cdr:nvSpPr>
        <cdr:cNvPr id="11" name="Line 11"/>
        <cdr:cNvSpPr>
          <a:spLocks/>
        </cdr:cNvSpPr>
      </cdr:nvSpPr>
      <cdr:spPr>
        <a:xfrm>
          <a:off x="7391400" y="4162425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0.4475</cdr:x>
      <cdr:y>0.2925</cdr:y>
    </cdr:from>
    <cdr:to>
      <cdr:x>0.58125</cdr:x>
      <cdr:y>0.35125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1400175"/>
          <a:ext cx="9620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0.5%</a:t>
          </a:r>
        </a:p>
      </cdr:txBody>
    </cdr:sp>
  </cdr:relSizeAnchor>
  <cdr:relSizeAnchor xmlns:cdr="http://schemas.openxmlformats.org/drawingml/2006/chartDrawing">
    <cdr:from>
      <cdr:x>0.59375</cdr:x>
      <cdr:y>0.25025</cdr:y>
    </cdr:from>
    <cdr:to>
      <cdr:x>0.69625</cdr:x>
      <cdr:y>0.301</cdr:y>
    </cdr:to>
    <cdr:sp>
      <cdr:nvSpPr>
        <cdr:cNvPr id="2" name="TextBox 2"/>
        <cdr:cNvSpPr txBox="1">
          <a:spLocks noChangeArrowheads="1"/>
        </cdr:cNvSpPr>
      </cdr:nvSpPr>
      <cdr:spPr>
        <a:xfrm>
          <a:off x="4248150" y="1200150"/>
          <a:ext cx="733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2.5%</a:t>
          </a:r>
        </a:p>
      </cdr:txBody>
    </cdr:sp>
  </cdr:relSizeAnchor>
  <cdr:relSizeAnchor xmlns:cdr="http://schemas.openxmlformats.org/drawingml/2006/chartDrawing">
    <cdr:from>
      <cdr:x>0.67375</cdr:x>
      <cdr:y>0.29325</cdr:y>
    </cdr:from>
    <cdr:to>
      <cdr:x>0.77875</cdr:x>
      <cdr:y>0.336</cdr:y>
    </cdr:to>
    <cdr:sp>
      <cdr:nvSpPr>
        <cdr:cNvPr id="3" name="TextBox 3"/>
        <cdr:cNvSpPr txBox="1">
          <a:spLocks noChangeArrowheads="1"/>
        </cdr:cNvSpPr>
      </cdr:nvSpPr>
      <cdr:spPr>
        <a:xfrm>
          <a:off x="4819650" y="1409700"/>
          <a:ext cx="752475" cy="209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5.0%
</a:t>
          </a:r>
        </a:p>
      </cdr:txBody>
    </cdr:sp>
  </cdr:relSizeAnchor>
  <cdr:relSizeAnchor xmlns:cdr="http://schemas.openxmlformats.org/drawingml/2006/chartDrawing">
    <cdr:from>
      <cdr:x>0.73425</cdr:x>
      <cdr:y>0.336</cdr:y>
    </cdr:from>
    <cdr:to>
      <cdr:x>0.82925</cdr:x>
      <cdr:y>0.39775</cdr:y>
    </cdr:to>
    <cdr:sp>
      <cdr:nvSpPr>
        <cdr:cNvPr id="4" name="TextBox 4"/>
        <cdr:cNvSpPr txBox="1">
          <a:spLocks noChangeArrowheads="1"/>
        </cdr:cNvSpPr>
      </cdr:nvSpPr>
      <cdr:spPr>
        <a:xfrm>
          <a:off x="5257800" y="1609725"/>
          <a:ext cx="6762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7.50%</a:t>
          </a:r>
        </a:p>
      </cdr:txBody>
    </cdr:sp>
  </cdr:relSizeAnchor>
  <cdr:relSizeAnchor xmlns:cdr="http://schemas.openxmlformats.org/drawingml/2006/chartDrawing">
    <cdr:from>
      <cdr:x>0.7195</cdr:x>
      <cdr:y>0.629</cdr:y>
    </cdr:from>
    <cdr:to>
      <cdr:x>0.941</cdr:x>
      <cdr:y>0.755</cdr:y>
    </cdr:to>
    <cdr:sp>
      <cdr:nvSpPr>
        <cdr:cNvPr id="5" name="TextBox 5"/>
        <cdr:cNvSpPr txBox="1">
          <a:spLocks noChangeArrowheads="1"/>
        </cdr:cNvSpPr>
      </cdr:nvSpPr>
      <cdr:spPr>
        <a:xfrm>
          <a:off x="5153025" y="3019425"/>
          <a:ext cx="1590675" cy="609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75" b="1" i="0" u="none" baseline="0">
              <a:latin typeface="Arial"/>
              <a:ea typeface="Arial"/>
              <a:cs typeface="Arial"/>
            </a:rPr>
            <a:t>Silt Loam
 (S=20, C=20)</a:t>
          </a:r>
        </a:p>
      </cdr:txBody>
    </cdr:sp>
  </cdr:relSizeAnchor>
  <cdr:relSizeAnchor xmlns:cdr="http://schemas.openxmlformats.org/drawingml/2006/chartDrawing">
    <cdr:from>
      <cdr:x>0.3225</cdr:x>
      <cdr:y>0.20375</cdr:y>
    </cdr:from>
    <cdr:to>
      <cdr:x>0.58825</cdr:x>
      <cdr:y>0.27025</cdr:y>
    </cdr:to>
    <cdr:sp>
      <cdr:nvSpPr>
        <cdr:cNvPr id="6" name="TextBox 6"/>
        <cdr:cNvSpPr txBox="1">
          <a:spLocks noChangeArrowheads="1"/>
        </cdr:cNvSpPr>
      </cdr:nvSpPr>
      <cdr:spPr>
        <a:xfrm>
          <a:off x="2305050" y="971550"/>
          <a:ext cx="1905000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25" b="1" i="0" u="none" baseline="0">
              <a:latin typeface="Arial"/>
              <a:ea typeface="Arial"/>
              <a:cs typeface="Arial"/>
            </a:rPr>
            <a:t>Organic Matter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0.6735</cdr:x>
      <cdr:y>0.216</cdr:y>
    </cdr:from>
    <cdr:to>
      <cdr:x>0.8635</cdr:x>
      <cdr:y>0.335</cdr:y>
    </cdr:to>
    <cdr:sp>
      <cdr:nvSpPr>
        <cdr:cNvPr id="1" name="TextBox 1"/>
        <cdr:cNvSpPr txBox="1">
          <a:spLocks noChangeArrowheads="1"/>
        </cdr:cNvSpPr>
      </cdr:nvSpPr>
      <cdr:spPr>
        <a:xfrm>
          <a:off x="5391150" y="1085850"/>
          <a:ext cx="1524000" cy="600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Silt Loam
 (S=20, C=20)</a:t>
          </a:r>
        </a:p>
      </cdr:txBody>
    </cdr:sp>
  </cdr:relSizeAnchor>
  <cdr:relSizeAnchor xmlns:cdr="http://schemas.openxmlformats.org/drawingml/2006/chartDrawing">
    <cdr:from>
      <cdr:x>0.183</cdr:x>
      <cdr:y>0.4655</cdr:y>
    </cdr:from>
    <cdr:to>
      <cdr:x>0.2595</cdr:x>
      <cdr:y>0.5165</cdr:y>
    </cdr:to>
    <cdr:sp>
      <cdr:nvSpPr>
        <cdr:cNvPr id="2" name="TextBox 2"/>
        <cdr:cNvSpPr txBox="1">
          <a:spLocks noChangeArrowheads="1"/>
        </cdr:cNvSpPr>
      </cdr:nvSpPr>
      <cdr:spPr>
        <a:xfrm>
          <a:off x="1457325" y="2333625"/>
          <a:ext cx="609600" cy="2571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0.50%</a:t>
          </a:r>
        </a:p>
      </cdr:txBody>
    </cdr:sp>
  </cdr:relSizeAnchor>
  <cdr:relSizeAnchor xmlns:cdr="http://schemas.openxmlformats.org/drawingml/2006/chartDrawing">
    <cdr:from>
      <cdr:x>0.2595</cdr:x>
      <cdr:y>0.5165</cdr:y>
    </cdr:from>
    <cdr:to>
      <cdr:x>0.335</cdr:x>
      <cdr:y>0.56775</cdr:y>
    </cdr:to>
    <cdr:sp>
      <cdr:nvSpPr>
        <cdr:cNvPr id="3" name="TextBox 3"/>
        <cdr:cNvSpPr txBox="1">
          <a:spLocks noChangeArrowheads="1"/>
        </cdr:cNvSpPr>
      </cdr:nvSpPr>
      <cdr:spPr>
        <a:xfrm>
          <a:off x="2076450" y="2590800"/>
          <a:ext cx="600075" cy="2571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2.50%</a:t>
          </a:r>
        </a:p>
      </cdr:txBody>
    </cdr:sp>
  </cdr:relSizeAnchor>
  <cdr:relSizeAnchor xmlns:cdr="http://schemas.openxmlformats.org/drawingml/2006/chartDrawing">
    <cdr:from>
      <cdr:x>0.42175</cdr:x>
      <cdr:y>0.398</cdr:y>
    </cdr:from>
    <cdr:to>
      <cdr:x>0.49825</cdr:x>
      <cdr:y>0.44925</cdr:y>
    </cdr:to>
    <cdr:sp>
      <cdr:nvSpPr>
        <cdr:cNvPr id="4" name="TextBox 4"/>
        <cdr:cNvSpPr txBox="1">
          <a:spLocks noChangeArrowheads="1"/>
        </cdr:cNvSpPr>
      </cdr:nvSpPr>
      <cdr:spPr>
        <a:xfrm>
          <a:off x="3371850" y="2000250"/>
          <a:ext cx="609600" cy="2571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5.00%</a:t>
          </a:r>
        </a:p>
      </cdr:txBody>
    </cdr:sp>
  </cdr:relSizeAnchor>
  <cdr:relSizeAnchor xmlns:cdr="http://schemas.openxmlformats.org/drawingml/2006/chartDrawing">
    <cdr:from>
      <cdr:x>0.55375</cdr:x>
      <cdr:y>0.485</cdr:y>
    </cdr:from>
    <cdr:to>
      <cdr:x>0.63025</cdr:x>
      <cdr:y>0.53625</cdr:y>
    </cdr:to>
    <cdr:sp>
      <cdr:nvSpPr>
        <cdr:cNvPr id="5" name="TextBox 5"/>
        <cdr:cNvSpPr txBox="1">
          <a:spLocks noChangeArrowheads="1"/>
        </cdr:cNvSpPr>
      </cdr:nvSpPr>
      <cdr:spPr>
        <a:xfrm>
          <a:off x="4429125" y="2438400"/>
          <a:ext cx="609600" cy="2571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7.50%</a:t>
          </a:r>
        </a:p>
      </cdr:txBody>
    </cdr:sp>
  </cdr:relSizeAnchor>
  <cdr:relSizeAnchor xmlns:cdr="http://schemas.openxmlformats.org/drawingml/2006/chartDrawing">
    <cdr:from>
      <cdr:x>0.37675</cdr:x>
      <cdr:y>0.4245</cdr:y>
    </cdr:from>
    <cdr:to>
      <cdr:x>0.42175</cdr:x>
      <cdr:y>0.485</cdr:y>
    </cdr:to>
    <cdr:sp>
      <cdr:nvSpPr>
        <cdr:cNvPr id="6" name="Line 6"/>
        <cdr:cNvSpPr>
          <a:spLocks/>
        </cdr:cNvSpPr>
      </cdr:nvSpPr>
      <cdr:spPr>
        <a:xfrm flipH="1">
          <a:off x="3009900" y="2133600"/>
          <a:ext cx="36195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0.335</cdr:x>
      <cdr:y>0.5285</cdr:y>
    </cdr:from>
    <cdr:to>
      <cdr:x>0.389</cdr:x>
      <cdr:y>0.548</cdr:y>
    </cdr:to>
    <cdr:sp>
      <cdr:nvSpPr>
        <cdr:cNvPr id="7" name="Line 7"/>
        <cdr:cNvSpPr>
          <a:spLocks/>
        </cdr:cNvSpPr>
      </cdr:nvSpPr>
      <cdr:spPr>
        <a:xfrm flipV="1">
          <a:off x="2676525" y="2657475"/>
          <a:ext cx="42862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0.2595</cdr:x>
      <cdr:y>0.44925</cdr:y>
    </cdr:from>
    <cdr:to>
      <cdr:x>0.2955</cdr:x>
      <cdr:y>0.485</cdr:y>
    </cdr:to>
    <cdr:sp>
      <cdr:nvSpPr>
        <cdr:cNvPr id="8" name="Line 8"/>
        <cdr:cNvSpPr>
          <a:spLocks/>
        </cdr:cNvSpPr>
      </cdr:nvSpPr>
      <cdr:spPr>
        <a:xfrm flipV="1">
          <a:off x="2076450" y="2257425"/>
          <a:ext cx="28575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0.507</cdr:x>
      <cdr:y>0.5165</cdr:y>
    </cdr:from>
    <cdr:to>
      <cdr:x>0.55375</cdr:x>
      <cdr:y>0.56775</cdr:y>
    </cdr:to>
    <cdr:sp>
      <cdr:nvSpPr>
        <cdr:cNvPr id="9" name="Line 9"/>
        <cdr:cNvSpPr>
          <a:spLocks/>
        </cdr:cNvSpPr>
      </cdr:nvSpPr>
      <cdr:spPr>
        <a:xfrm flipH="1">
          <a:off x="4057650" y="2590800"/>
          <a:ext cx="371475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</cdr:x>
      <cdr:y>0.2745</cdr:y>
    </cdr:from>
    <cdr:to>
      <cdr:x>0.55375</cdr:x>
      <cdr:y>0.335</cdr:y>
    </cdr:to>
    <cdr:sp>
      <cdr:nvSpPr>
        <cdr:cNvPr id="10" name="TextBox 10"/>
        <cdr:cNvSpPr txBox="1">
          <a:spLocks noChangeArrowheads="1"/>
        </cdr:cNvSpPr>
      </cdr:nvSpPr>
      <cdr:spPr>
        <a:xfrm>
          <a:off x="2314575" y="1371600"/>
          <a:ext cx="2114550" cy="3048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Organic Matter, %w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0.21725</cdr:x>
      <cdr:y>0.20475</cdr:y>
    </cdr:from>
    <cdr:to>
      <cdr:x>0.43275</cdr:x>
      <cdr:y>0.37975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838200"/>
          <a:ext cx="1438275" cy="7239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Silt Loam 
S=0.20, C=0.20
OM = 2.5
</a:t>
          </a:r>
        </a:p>
      </cdr:txBody>
    </cdr:sp>
  </cdr:relSizeAnchor>
  <cdr:relSizeAnchor xmlns:cdr="http://schemas.openxmlformats.org/drawingml/2006/chartDrawing">
    <cdr:from>
      <cdr:x>0.589</cdr:x>
      <cdr:y>0.17925</cdr:y>
    </cdr:from>
    <cdr:to>
      <cdr:x>0.8125</cdr:x>
      <cdr:y>0.23675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33825" y="733425"/>
          <a:ext cx="1495425" cy="2381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Density Factor:</a:t>
          </a:r>
        </a:p>
      </cdr:txBody>
    </cdr:sp>
  </cdr:relSizeAnchor>
  <cdr:relSizeAnchor xmlns:cdr="http://schemas.openxmlformats.org/drawingml/2006/chartDrawing">
    <cdr:from>
      <cdr:x>0.8445</cdr:x>
      <cdr:y>0.18</cdr:y>
    </cdr:from>
    <cdr:to>
      <cdr:x>0.91575</cdr:x>
      <cdr:y>0.2375</cdr:y>
    </cdr:to>
    <cdr:sp>
      <cdr:nvSpPr>
        <cdr:cNvPr id="3" name="TextBox 3"/>
        <cdr:cNvSpPr txBox="1">
          <a:spLocks noChangeArrowheads="1"/>
        </cdr:cNvSpPr>
      </cdr:nvSpPr>
      <cdr:spPr>
        <a:xfrm>
          <a:off x="5638800" y="742950"/>
          <a:ext cx="476250" cy="2381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0.9</a:t>
          </a:r>
        </a:p>
      </cdr:txBody>
    </cdr:sp>
  </cdr:relSizeAnchor>
  <cdr:relSizeAnchor xmlns:cdr="http://schemas.openxmlformats.org/drawingml/2006/chartDrawing">
    <cdr:from>
      <cdr:x>0.84525</cdr:x>
      <cdr:y>0.2375</cdr:y>
    </cdr:from>
    <cdr:to>
      <cdr:x>0.91675</cdr:x>
      <cdr:y>0.29175</cdr:y>
    </cdr:to>
    <cdr:sp>
      <cdr:nvSpPr>
        <cdr:cNvPr id="4" name="TextBox 4"/>
        <cdr:cNvSpPr txBox="1">
          <a:spLocks noChangeArrowheads="1"/>
        </cdr:cNvSpPr>
      </cdr:nvSpPr>
      <cdr:spPr>
        <a:xfrm>
          <a:off x="5648325" y="981075"/>
          <a:ext cx="476250" cy="228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0.84525</cdr:x>
      <cdr:y>0.29225</cdr:y>
    </cdr:from>
    <cdr:to>
      <cdr:x>0.9175</cdr:x>
      <cdr:y>0.34725</cdr:y>
    </cdr:to>
    <cdr:sp>
      <cdr:nvSpPr>
        <cdr:cNvPr id="5" name="TextBox 5"/>
        <cdr:cNvSpPr txBox="1">
          <a:spLocks noChangeArrowheads="1"/>
        </cdr:cNvSpPr>
      </cdr:nvSpPr>
      <cdr:spPr>
        <a:xfrm>
          <a:off x="5648325" y="1200150"/>
          <a:ext cx="485775" cy="228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1.1</a:t>
          </a:r>
        </a:p>
      </cdr:txBody>
    </cdr:sp>
  </cdr:relSizeAnchor>
  <cdr:relSizeAnchor xmlns:cdr="http://schemas.openxmlformats.org/drawingml/2006/chartDrawing">
    <cdr:from>
      <cdr:x>0.84525</cdr:x>
      <cdr:y>0.3635</cdr:y>
    </cdr:from>
    <cdr:to>
      <cdr:x>0.9175</cdr:x>
      <cdr:y>0.41575</cdr:y>
    </cdr:to>
    <cdr:sp>
      <cdr:nvSpPr>
        <cdr:cNvPr id="6" name="TextBox 6"/>
        <cdr:cNvSpPr txBox="1">
          <a:spLocks noChangeArrowheads="1"/>
        </cdr:cNvSpPr>
      </cdr:nvSpPr>
      <cdr:spPr>
        <a:xfrm>
          <a:off x="5648325" y="1495425"/>
          <a:ext cx="48577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1.2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0.5385</cdr:x>
      <cdr:y>0.125</cdr:y>
    </cdr:from>
    <cdr:to>
      <cdr:x>0.74375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4114800" y="666750"/>
          <a:ext cx="1571625" cy="609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Sandy Loam 
S=0.63, C=0.10</a:t>
          </a:r>
        </a:p>
      </cdr:txBody>
    </cdr:sp>
  </cdr:relSizeAnchor>
  <cdr:relSizeAnchor xmlns:cdr="http://schemas.openxmlformats.org/drawingml/2006/chartDrawing">
    <cdr:from>
      <cdr:x>0.76725</cdr:x>
      <cdr:y>0.53925</cdr:y>
    </cdr:from>
    <cdr:to>
      <cdr:x>0.94975</cdr:x>
      <cdr:y>0.64025</cdr:y>
    </cdr:to>
    <cdr:sp>
      <cdr:nvSpPr>
        <cdr:cNvPr id="2" name="TextBox 2"/>
        <cdr:cNvSpPr txBox="1">
          <a:spLocks noChangeArrowheads="1"/>
        </cdr:cNvSpPr>
      </cdr:nvSpPr>
      <cdr:spPr>
        <a:xfrm>
          <a:off x="5867400" y="2876550"/>
          <a:ext cx="1400175" cy="5429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Clay Loam 
S=0.29, C=0.32</a:t>
          </a:r>
        </a:p>
      </cdr:txBody>
    </cdr:sp>
  </cdr:relSizeAnchor>
  <cdr:relSizeAnchor xmlns:cdr="http://schemas.openxmlformats.org/drawingml/2006/chartDrawing">
    <cdr:from>
      <cdr:x>0.377</cdr:x>
      <cdr:y>0.36625</cdr:y>
    </cdr:from>
    <cdr:to>
      <cdr:x>0.5855</cdr:x>
      <cdr:y>0.46725</cdr:y>
    </cdr:to>
    <cdr:sp>
      <cdr:nvSpPr>
        <cdr:cNvPr id="3" name="TextBox 3"/>
        <cdr:cNvSpPr txBox="1">
          <a:spLocks noChangeArrowheads="1"/>
        </cdr:cNvSpPr>
      </cdr:nvSpPr>
      <cdr:spPr>
        <a:xfrm>
          <a:off x="2876550" y="1952625"/>
          <a:ext cx="1590675" cy="5429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Silt Loam 
S=0.15 S=0.18</a:t>
          </a:r>
        </a:p>
      </cdr:txBody>
    </cdr:sp>
  </cdr:relSizeAnchor>
  <cdr:relSizeAnchor xmlns:cdr="http://schemas.openxmlformats.org/drawingml/2006/chartDrawing">
    <cdr:from>
      <cdr:x>0.56775</cdr:x>
      <cdr:y>0.40575</cdr:y>
    </cdr:from>
    <cdr:to>
      <cdr:x>0.6935</cdr:x>
      <cdr:y>0.46675</cdr:y>
    </cdr:to>
    <cdr:sp>
      <cdr:nvSpPr>
        <cdr:cNvPr id="4" name="Line 4"/>
        <cdr:cNvSpPr>
          <a:spLocks/>
        </cdr:cNvSpPr>
      </cdr:nvSpPr>
      <cdr:spPr>
        <a:xfrm>
          <a:off x="4333875" y="2162175"/>
          <a:ext cx="962025" cy="323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0.1955</cdr:x>
      <cdr:y>0.143</cdr:y>
    </cdr:from>
    <cdr:to>
      <cdr:x>0.36175</cdr:x>
      <cdr:y>0.2025</cdr:y>
    </cdr:to>
    <cdr:sp>
      <cdr:nvSpPr>
        <cdr:cNvPr id="5" name="TextBox 5"/>
        <cdr:cNvSpPr txBox="1">
          <a:spLocks noChangeArrowheads="1"/>
        </cdr:cNvSpPr>
      </cdr:nvSpPr>
      <cdr:spPr>
        <a:xfrm>
          <a:off x="1485900" y="762000"/>
          <a:ext cx="1266825" cy="3143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OM = 1.5 %w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857250</xdr:colOff>
      <xdr:row>46</xdr:row>
      <xdr:rowOff>114300</xdr:rowOff>
    </xdr:from>
    <xdr:to>
      <xdr:col>63</xdr:col>
      <xdr:colOff>352425</xdr:colOff>
      <xdr:row>71</xdr:row>
      <xdr:rowOff>19050</xdr:rowOff>
    </xdr:to>
    <xdr:graphicFrame>
      <xdr:nvGraphicFramePr>
        <xdr:cNvPr id="1" name="Chart 4"/>
        <xdr:cNvGraphicFramePr/>
      </xdr:nvGraphicFramePr>
      <xdr:xfrm>
        <a:off x="43738800" y="9039225"/>
        <a:ext cx="74676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64</xdr:col>
      <xdr:colOff>438150</xdr:colOff>
      <xdr:row>49</xdr:row>
      <xdr:rowOff>85725</xdr:rowOff>
    </xdr:from>
    <xdr:to>
      <xdr:col>75</xdr:col>
      <xdr:colOff>161925</xdr:colOff>
      <xdr:row>73</xdr:row>
      <xdr:rowOff>57150</xdr:rowOff>
    </xdr:to>
    <xdr:graphicFrame>
      <xdr:nvGraphicFramePr>
        <xdr:cNvPr id="2" name="Chart 1"/>
        <xdr:cNvGraphicFramePr/>
      </xdr:nvGraphicFramePr>
      <xdr:xfrm>
        <a:off x="52092225" y="9582150"/>
        <a:ext cx="68865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61</xdr:col>
      <xdr:colOff>19050</xdr:colOff>
      <xdr:row>73</xdr:row>
      <xdr:rowOff>19050</xdr:rowOff>
    </xdr:from>
    <xdr:to>
      <xdr:col>61</xdr:col>
      <xdr:colOff>28575</xdr:colOff>
      <xdr:row>73</xdr:row>
      <xdr:rowOff>180975</xdr:rowOff>
    </xdr:to>
    <xdr:sp>
      <xdr:nvSpPr>
        <xdr:cNvPr id="3" name="Line 2"/>
        <xdr:cNvSpPr>
          <a:spLocks/>
        </xdr:cNvSpPr>
      </xdr:nvSpPr>
      <xdr:spPr>
        <a:xfrm flipH="1" flipV="1">
          <a:off x="49349025" y="14087475"/>
          <a:ext cx="1905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695325</xdr:colOff>
      <xdr:row>51</xdr:row>
      <xdr:rowOff>171450</xdr:rowOff>
    </xdr:from>
    <xdr:to>
      <xdr:col>64</xdr:col>
      <xdr:colOff>133350</xdr:colOff>
      <xdr:row>80</xdr:row>
      <xdr:rowOff>47625</xdr:rowOff>
    </xdr:to>
    <xdr:graphicFrame>
      <xdr:nvGraphicFramePr>
        <xdr:cNvPr id="4" name="Chart 5"/>
        <xdr:cNvGraphicFramePr/>
      </xdr:nvGraphicFramePr>
      <xdr:xfrm>
        <a:off x="43576875" y="10048875"/>
        <a:ext cx="8210550" cy="542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64</xdr:col>
      <xdr:colOff>723900</xdr:colOff>
      <xdr:row>54</xdr:row>
      <xdr:rowOff>123825</xdr:rowOff>
    </xdr:from>
    <xdr:to>
      <xdr:col>76</xdr:col>
      <xdr:colOff>142875</xdr:colOff>
      <xdr:row>79</xdr:row>
      <xdr:rowOff>142875</xdr:rowOff>
    </xdr:to>
    <xdr:graphicFrame>
      <xdr:nvGraphicFramePr>
        <xdr:cNvPr id="5" name="Chart 6"/>
        <xdr:cNvGraphicFramePr/>
      </xdr:nvGraphicFramePr>
      <xdr:xfrm>
        <a:off x="52377975" y="10572750"/>
        <a:ext cx="7162800" cy="4810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56</xdr:col>
      <xdr:colOff>457200</xdr:colOff>
      <xdr:row>55</xdr:row>
      <xdr:rowOff>104775</xdr:rowOff>
    </xdr:from>
    <xdr:to>
      <xdr:col>64</xdr:col>
      <xdr:colOff>695325</xdr:colOff>
      <xdr:row>81</xdr:row>
      <xdr:rowOff>152400</xdr:rowOff>
    </xdr:to>
    <xdr:graphicFrame>
      <xdr:nvGraphicFramePr>
        <xdr:cNvPr id="6" name="Chart 8"/>
        <xdr:cNvGraphicFramePr/>
      </xdr:nvGraphicFramePr>
      <xdr:xfrm>
        <a:off x="44338875" y="10744200"/>
        <a:ext cx="8010525" cy="5029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 fPrintsWithSheet="0"/>
  </xdr:twoCellAnchor>
  <xdr:twoCellAnchor>
    <xdr:from>
      <xdr:col>65</xdr:col>
      <xdr:colOff>276225</xdr:colOff>
      <xdr:row>58</xdr:row>
      <xdr:rowOff>180975</xdr:rowOff>
    </xdr:from>
    <xdr:to>
      <xdr:col>76</xdr:col>
      <xdr:colOff>66675</xdr:colOff>
      <xdr:row>80</xdr:row>
      <xdr:rowOff>95250</xdr:rowOff>
    </xdr:to>
    <xdr:graphicFrame>
      <xdr:nvGraphicFramePr>
        <xdr:cNvPr id="7" name="Chart 3"/>
        <xdr:cNvGraphicFramePr/>
      </xdr:nvGraphicFramePr>
      <xdr:xfrm>
        <a:off x="52778025" y="11391900"/>
        <a:ext cx="6686550" cy="4133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66</xdr:col>
      <xdr:colOff>180975</xdr:colOff>
      <xdr:row>62</xdr:row>
      <xdr:rowOff>171450</xdr:rowOff>
    </xdr:from>
    <xdr:to>
      <xdr:col>78</xdr:col>
      <xdr:colOff>352425</xdr:colOff>
      <xdr:row>90</xdr:row>
      <xdr:rowOff>152400</xdr:rowOff>
    </xdr:to>
    <xdr:graphicFrame>
      <xdr:nvGraphicFramePr>
        <xdr:cNvPr id="8" name="Chart 7"/>
        <xdr:cNvGraphicFramePr/>
      </xdr:nvGraphicFramePr>
      <xdr:xfrm>
        <a:off x="53263800" y="12144375"/>
        <a:ext cx="7648575" cy="5343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0.63475</cdr:y>
    </cdr:from>
    <cdr:to>
      <cdr:x>0.3215</cdr:x>
      <cdr:y>0.7895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2962275"/>
          <a:ext cx="1438275" cy="7239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Silt Loam
  (S=20, C=20)
OM = 2.5%</a:t>
          </a:r>
        </a:p>
      </cdr:txBody>
    </cdr:sp>
  </cdr:relSizeAnchor>
  <cdr:relSizeAnchor xmlns:cdr="http://schemas.openxmlformats.org/drawingml/2006/chartDrawing">
    <cdr:from>
      <cdr:x>0.749</cdr:x>
      <cdr:y>0.4015</cdr:y>
    </cdr:from>
    <cdr:to>
      <cdr:x>0.88</cdr:x>
      <cdr:y>0.49425</cdr:y>
    </cdr:to>
    <cdr:sp>
      <cdr:nvSpPr>
        <cdr:cNvPr id="2" name="TextBox 2"/>
        <cdr:cNvSpPr txBox="1">
          <a:spLocks noChangeArrowheads="1"/>
        </cdr:cNvSpPr>
      </cdr:nvSpPr>
      <cdr:spPr>
        <a:xfrm>
          <a:off x="5591175" y="1866900"/>
          <a:ext cx="981075" cy="4286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Salinity, dS/m</a:t>
          </a:r>
        </a:p>
      </cdr:txBody>
    </cdr:sp>
  </cdr:relSizeAnchor>
  <cdr:relSizeAnchor xmlns:cdr="http://schemas.openxmlformats.org/drawingml/2006/chartDrawing">
    <cdr:from>
      <cdr:x>0.78975</cdr:x>
      <cdr:y>0.77025</cdr:y>
    </cdr:from>
    <cdr:to>
      <cdr:x>0.82225</cdr:x>
      <cdr:y>0.81775</cdr:y>
    </cdr:to>
    <cdr:sp>
      <cdr:nvSpPr>
        <cdr:cNvPr id="3" name="TextBox 3"/>
        <cdr:cNvSpPr txBox="1">
          <a:spLocks noChangeArrowheads="1"/>
        </cdr:cNvSpPr>
      </cdr:nvSpPr>
      <cdr:spPr>
        <a:xfrm>
          <a:off x="5895975" y="3590925"/>
          <a:ext cx="238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0.78975</cdr:x>
      <cdr:y>0.586</cdr:y>
    </cdr:from>
    <cdr:to>
      <cdr:x>0.82225</cdr:x>
      <cdr:y>0.63325</cdr:y>
    </cdr:to>
    <cdr:sp>
      <cdr:nvSpPr>
        <cdr:cNvPr id="4" name="TextBox 4"/>
        <cdr:cNvSpPr txBox="1">
          <a:spLocks noChangeArrowheads="1"/>
        </cdr:cNvSpPr>
      </cdr:nvSpPr>
      <cdr:spPr>
        <a:xfrm>
          <a:off x="5895975" y="2733675"/>
          <a:ext cx="2381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0.78975</cdr:x>
      <cdr:y>0.5165</cdr:y>
    </cdr:from>
    <cdr:to>
      <cdr:x>0.82225</cdr:x>
      <cdr:y>0.56375</cdr:y>
    </cdr:to>
    <cdr:sp>
      <cdr:nvSpPr>
        <cdr:cNvPr id="5" name="TextBox 5"/>
        <cdr:cNvSpPr txBox="1">
          <a:spLocks noChangeArrowheads="1"/>
        </cdr:cNvSpPr>
      </cdr:nvSpPr>
      <cdr:spPr>
        <a:xfrm>
          <a:off x="5895975" y="2409825"/>
          <a:ext cx="2381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0.78975</cdr:x>
      <cdr:y>0.64925</cdr:y>
    </cdr:from>
    <cdr:to>
      <cdr:x>0.81775</cdr:x>
      <cdr:y>0.69675</cdr:y>
    </cdr:to>
    <cdr:sp>
      <cdr:nvSpPr>
        <cdr:cNvPr id="6" name="TextBox 6"/>
        <cdr:cNvSpPr txBox="1">
          <a:spLocks noChangeArrowheads="1"/>
        </cdr:cNvSpPr>
      </cdr:nvSpPr>
      <cdr:spPr>
        <a:xfrm>
          <a:off x="5895975" y="3028950"/>
          <a:ext cx="209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21"/>
  <sheetViews>
    <sheetView tabSelected="1" zoomScale="75" zoomScaleNormal="75" workbookViewId="0" topLeftCell="AJ42">
      <selection activeCell="I55" sqref="I55"/>
    </sheetView>
  </sheetViews>
  <sheetFormatPr defaultColWidth="9.140625" defaultRowHeight="12.75"/>
  <cols>
    <col min="1" max="1" width="17.421875" style="1" customWidth="1"/>
    <col min="2" max="2" width="16.28125" style="1" customWidth="1"/>
    <col min="3" max="4" width="14.28125" style="1" customWidth="1"/>
    <col min="5" max="5" width="13.8515625" style="1" customWidth="1"/>
    <col min="6" max="7" width="8.7109375" style="1" customWidth="1"/>
    <col min="8" max="8" width="12.140625" style="1" customWidth="1"/>
    <col min="9" max="9" width="12.57421875" style="1" customWidth="1"/>
    <col min="10" max="10" width="10.28125" style="1" customWidth="1"/>
    <col min="11" max="11" width="11.140625" style="1" customWidth="1"/>
    <col min="12" max="12" width="12.00390625" style="1" customWidth="1"/>
    <col min="13" max="13" width="11.57421875" style="1" customWidth="1"/>
    <col min="14" max="14" width="14.421875" style="1" customWidth="1"/>
    <col min="15" max="15" width="14.7109375" style="1" bestFit="1" customWidth="1"/>
    <col min="16" max="16" width="10.28125" style="1" bestFit="1" customWidth="1"/>
    <col min="17" max="17" width="11.00390625" style="1" customWidth="1"/>
    <col min="18" max="18" width="11.7109375" style="1" customWidth="1"/>
    <col min="19" max="19" width="10.8515625" style="1" customWidth="1"/>
    <col min="20" max="22" width="9.28125" style="1" bestFit="1" customWidth="1"/>
    <col min="23" max="24" width="12.421875" style="1" customWidth="1"/>
    <col min="25" max="25" width="9.28125" style="1" bestFit="1" customWidth="1"/>
    <col min="26" max="26" width="11.00390625" style="1" customWidth="1"/>
    <col min="27" max="28" width="12.00390625" style="1" customWidth="1"/>
    <col min="29" max="29" width="13.57421875" style="1" customWidth="1"/>
    <col min="30" max="30" width="11.421875" style="1" customWidth="1"/>
    <col min="31" max="31" width="10.7109375" style="1" customWidth="1"/>
    <col min="32" max="32" width="9.28125" style="1" bestFit="1" customWidth="1"/>
    <col min="33" max="33" width="11.140625" style="1" customWidth="1"/>
    <col min="34" max="34" width="11.00390625" style="1" customWidth="1"/>
    <col min="35" max="35" width="12.28125" style="1" customWidth="1"/>
    <col min="36" max="36" width="9.421875" style="1" customWidth="1"/>
    <col min="37" max="37" width="12.421875" style="1" customWidth="1"/>
    <col min="38" max="39" width="13.7109375" style="1" customWidth="1"/>
    <col min="40" max="40" width="13.28125" style="1" customWidth="1"/>
    <col min="41" max="42" width="8.7109375" style="1" customWidth="1"/>
    <col min="43" max="43" width="10.28125" style="1" customWidth="1"/>
    <col min="44" max="44" width="11.8515625" style="1" customWidth="1"/>
    <col min="45" max="45" width="13.140625" style="1" customWidth="1"/>
    <col min="46" max="48" width="8.7109375" style="1" customWidth="1"/>
    <col min="49" max="49" width="13.57421875" style="1" customWidth="1"/>
    <col min="50" max="50" width="11.8515625" style="1" customWidth="1"/>
    <col min="51" max="51" width="13.28125" style="1" customWidth="1"/>
    <col min="52" max="52" width="13.7109375" style="1" customWidth="1"/>
    <col min="53" max="53" width="14.00390625" style="1" customWidth="1"/>
    <col min="54" max="54" width="10.8515625" style="1" customWidth="1"/>
    <col min="55" max="55" width="11.7109375" style="1" customWidth="1"/>
    <col min="56" max="56" width="15.00390625" style="1" customWidth="1"/>
    <col min="57" max="57" width="18.7109375" style="1" customWidth="1"/>
    <col min="58" max="58" width="17.421875" style="1" customWidth="1"/>
    <col min="59" max="59" width="15.28125" style="1" customWidth="1"/>
    <col min="60" max="60" width="15.00390625" style="1" customWidth="1"/>
    <col min="61" max="61" width="15.28125" style="1" customWidth="1"/>
    <col min="62" max="63" width="11.421875" style="1" customWidth="1"/>
    <col min="64" max="64" width="12.00390625" style="1" customWidth="1"/>
    <col min="65" max="65" width="12.7109375" style="1" customWidth="1"/>
    <col min="66" max="67" width="8.7109375" style="1" customWidth="1"/>
    <col min="68" max="68" width="16.28125" style="1" customWidth="1"/>
    <col min="69" max="78" width="8.7109375" style="1" customWidth="1"/>
    <col min="79" max="79" width="12.421875" style="1" customWidth="1"/>
    <col min="80" max="80" width="12.8515625" style="1" customWidth="1"/>
    <col min="81" max="81" width="11.7109375" style="1" customWidth="1"/>
    <col min="82" max="82" width="12.8515625" style="1" customWidth="1"/>
    <col min="83" max="83" width="13.140625" style="1" customWidth="1"/>
    <col min="84" max="16384" width="8.7109375" style="1" customWidth="1"/>
  </cols>
  <sheetData>
    <row r="1" spans="3:13" ht="21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3:13" ht="15">
      <c r="C2" s="46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3:13" ht="15">
      <c r="C3" s="4"/>
      <c r="D3" s="46" t="s">
        <v>2</v>
      </c>
      <c r="E3" s="4"/>
      <c r="F3" s="4"/>
      <c r="G3" s="4"/>
      <c r="H3" s="4"/>
      <c r="I3" s="4"/>
      <c r="J3" s="4"/>
      <c r="K3" s="4"/>
      <c r="L3" s="4"/>
      <c r="M3" s="4"/>
    </row>
    <row r="4" spans="3:62" ht="15">
      <c r="C4" s="4"/>
      <c r="D4" s="46" t="s">
        <v>152</v>
      </c>
      <c r="E4" s="4"/>
      <c r="F4" s="4"/>
      <c r="G4" s="4"/>
      <c r="H4" s="4"/>
      <c r="I4" s="4"/>
      <c r="J4" s="4"/>
      <c r="K4" s="4"/>
      <c r="L4" s="4"/>
      <c r="M4" s="4"/>
      <c r="BF4" s="1" t="s">
        <v>3</v>
      </c>
      <c r="BG4" s="5">
        <v>0.53391248858368</v>
      </c>
      <c r="BH4" s="5">
        <v>0.48212498731520004</v>
      </c>
      <c r="BI4" s="5">
        <v>0.43033748604671995</v>
      </c>
      <c r="BJ4" s="5">
        <v>0.3785499847782401</v>
      </c>
    </row>
    <row r="5" spans="1:6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BF5" s="1">
        <v>33</v>
      </c>
      <c r="BG5" s="5">
        <v>0.3315457725765069</v>
      </c>
      <c r="BH5" s="5">
        <v>0.3208775473152</v>
      </c>
      <c r="BI5" s="5">
        <v>0.3102093220538931</v>
      </c>
      <c r="BJ5" s="5">
        <v>0.2995410967925863</v>
      </c>
    </row>
    <row r="7" spans="4:26" ht="15">
      <c r="D7" s="7" t="s">
        <v>4</v>
      </c>
      <c r="E7" s="8"/>
      <c r="F7" s="8"/>
      <c r="G7" s="8"/>
      <c r="H7" s="8"/>
      <c r="I7" s="8"/>
      <c r="J7" s="8"/>
      <c r="K7" s="8"/>
      <c r="L7" s="8"/>
      <c r="M7" s="8"/>
      <c r="Z7" s="9"/>
    </row>
    <row r="9" ht="15">
      <c r="F9" s="10"/>
    </row>
    <row r="10" spans="6:83" ht="17.25">
      <c r="F10" s="11" t="s">
        <v>5</v>
      </c>
      <c r="G10" s="5"/>
      <c r="H10" s="5"/>
      <c r="I10" s="5"/>
      <c r="J10" s="5"/>
      <c r="W10" s="10"/>
      <c r="X10" s="10"/>
      <c r="BE10" s="45" t="s">
        <v>6</v>
      </c>
      <c r="BF10" s="14"/>
      <c r="BG10" s="14"/>
      <c r="BH10" s="14"/>
      <c r="BJ10" s="45" t="s">
        <v>118</v>
      </c>
      <c r="BK10" s="14"/>
      <c r="BL10" s="13"/>
      <c r="BM10" s="14"/>
      <c r="CA10" s="14"/>
      <c r="CB10" s="45" t="s">
        <v>7</v>
      </c>
      <c r="CC10" s="14"/>
      <c r="CD10" s="14"/>
      <c r="CE10" s="14"/>
    </row>
    <row r="11" spans="6:79" ht="15">
      <c r="F11" s="5"/>
      <c r="G11" s="5"/>
      <c r="H11" s="5"/>
      <c r="I11" s="5"/>
      <c r="J11" s="5"/>
      <c r="BD11" s="15" t="s">
        <v>8</v>
      </c>
      <c r="BJ11" s="14"/>
      <c r="BK11" s="14"/>
      <c r="BL11" s="14"/>
      <c r="BM11" s="14"/>
      <c r="CA11" s="1" t="s">
        <v>8</v>
      </c>
    </row>
    <row r="12" spans="56:83" ht="15">
      <c r="BD12" s="1" t="s">
        <v>9</v>
      </c>
      <c r="BE12" s="1">
        <v>3</v>
      </c>
      <c r="BF12" s="1">
        <v>5</v>
      </c>
      <c r="BG12" s="1">
        <v>8</v>
      </c>
      <c r="BH12" s="1">
        <v>11</v>
      </c>
      <c r="BI12" s="1" t="s">
        <v>9</v>
      </c>
      <c r="BJ12" s="1">
        <v>3</v>
      </c>
      <c r="BK12" s="1">
        <v>5</v>
      </c>
      <c r="BL12" s="1">
        <v>8</v>
      </c>
      <c r="BM12" s="1">
        <v>11</v>
      </c>
      <c r="CA12" s="1" t="s">
        <v>9</v>
      </c>
      <c r="CB12" s="1">
        <v>3</v>
      </c>
      <c r="CC12" s="1">
        <v>5</v>
      </c>
      <c r="CD12" s="1">
        <v>8</v>
      </c>
      <c r="CE12" s="1">
        <v>11</v>
      </c>
    </row>
    <row r="13" spans="2:63" ht="15">
      <c r="B13" s="48" t="s">
        <v>71</v>
      </c>
      <c r="C13" s="49"/>
      <c r="D13" s="49"/>
      <c r="F13" s="16"/>
      <c r="G13" s="17" t="s">
        <v>10</v>
      </c>
      <c r="H13" s="16"/>
      <c r="I13" s="16"/>
      <c r="J13" s="16"/>
      <c r="K13" s="16"/>
      <c r="L13" s="6"/>
      <c r="M13" s="18"/>
      <c r="N13" s="18"/>
      <c r="O13" s="19" t="s">
        <v>11</v>
      </c>
      <c r="P13" s="18"/>
      <c r="Q13" s="18"/>
      <c r="R13" s="18"/>
      <c r="S13" s="19"/>
      <c r="T13" s="18"/>
      <c r="U13" s="18"/>
      <c r="W13" s="20"/>
      <c r="X13" s="20"/>
      <c r="Y13" s="21" t="s">
        <v>12</v>
      </c>
      <c r="Z13" s="20"/>
      <c r="AA13" s="20"/>
      <c r="AB13" s="20"/>
      <c r="AC13" s="20"/>
      <c r="AD13" s="21" t="s">
        <v>12</v>
      </c>
      <c r="AE13" s="20"/>
      <c r="AF13" s="20"/>
      <c r="AG13" s="20"/>
      <c r="AH13" s="21" t="s">
        <v>12</v>
      </c>
      <c r="AI13" s="20"/>
      <c r="AJ13" s="20"/>
      <c r="AK13" s="20"/>
      <c r="AL13" s="20"/>
      <c r="AM13" s="20"/>
      <c r="AN13" s="14"/>
      <c r="AO13" s="14"/>
      <c r="AP13" s="14"/>
      <c r="AQ13" s="14"/>
      <c r="AR13" s="14"/>
      <c r="AS13" s="14"/>
      <c r="AT13" s="6"/>
      <c r="AU13" s="6"/>
      <c r="AV13" s="8"/>
      <c r="AW13" s="7" t="s">
        <v>134</v>
      </c>
      <c r="AX13" s="8"/>
      <c r="AY13" s="8"/>
      <c r="AZ13" s="8"/>
      <c r="BA13" s="8"/>
      <c r="BB13" s="8"/>
      <c r="BC13" s="6"/>
      <c r="BD13" s="6"/>
      <c r="BE13" s="6"/>
      <c r="BF13" s="6"/>
      <c r="BG13" s="6"/>
      <c r="BH13" s="6"/>
      <c r="BI13" s="6"/>
      <c r="BJ13" s="6"/>
      <c r="BK13" s="6"/>
    </row>
    <row r="14" spans="1:71" ht="15">
      <c r="A14" s="10"/>
      <c r="B14" s="10"/>
      <c r="C14" s="10"/>
      <c r="D14" s="10"/>
      <c r="E14" s="10"/>
      <c r="F14" s="10"/>
      <c r="G14" s="10"/>
      <c r="H14" s="10" t="s">
        <v>120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55" t="s">
        <v>150</v>
      </c>
      <c r="T14" s="10"/>
      <c r="U14" s="10"/>
      <c r="V14" s="10"/>
      <c r="W14" s="10"/>
      <c r="X14" s="10"/>
      <c r="Y14" s="10"/>
      <c r="Z14" s="10"/>
      <c r="AA14" s="10"/>
      <c r="AB14" s="10" t="s">
        <v>13</v>
      </c>
      <c r="AC14" s="10" t="s">
        <v>14</v>
      </c>
      <c r="AD14" s="10"/>
      <c r="AE14" s="10"/>
      <c r="AF14" s="10" t="s">
        <v>15</v>
      </c>
      <c r="AG14" s="10" t="s">
        <v>15</v>
      </c>
      <c r="AH14" s="10" t="s">
        <v>16</v>
      </c>
      <c r="AI14" s="10" t="s">
        <v>16</v>
      </c>
      <c r="AJ14" s="10" t="s">
        <v>17</v>
      </c>
      <c r="AK14" s="10" t="s">
        <v>18</v>
      </c>
      <c r="AL14" s="10"/>
      <c r="AM14" s="10" t="s">
        <v>19</v>
      </c>
      <c r="AN14" s="10"/>
      <c r="AO14" s="10" t="s">
        <v>20</v>
      </c>
      <c r="AP14" s="10" t="s">
        <v>20</v>
      </c>
      <c r="AQ14" s="10"/>
      <c r="AR14" s="10"/>
      <c r="BO14" s="14" t="s">
        <v>21</v>
      </c>
      <c r="BP14" s="14"/>
      <c r="BQ14" s="14"/>
      <c r="BR14" s="14"/>
      <c r="BS14" s="14"/>
    </row>
    <row r="15" spans="2:83" ht="15">
      <c r="B15" s="10"/>
      <c r="C15" s="10" t="s">
        <v>22</v>
      </c>
      <c r="D15" s="10">
        <v>2149</v>
      </c>
      <c r="E15" s="10"/>
      <c r="F15" s="10" t="s">
        <v>102</v>
      </c>
      <c r="G15" s="10" t="s">
        <v>68</v>
      </c>
      <c r="H15" s="11" t="s">
        <v>132</v>
      </c>
      <c r="I15" s="11" t="s">
        <v>15</v>
      </c>
      <c r="J15" s="11" t="s">
        <v>23</v>
      </c>
      <c r="K15" s="11" t="s">
        <v>24</v>
      </c>
      <c r="L15" s="11"/>
      <c r="M15" s="11" t="s">
        <v>25</v>
      </c>
      <c r="N15" s="11" t="s">
        <v>26</v>
      </c>
      <c r="O15" s="11" t="s">
        <v>27</v>
      </c>
      <c r="P15" s="10" t="s">
        <v>28</v>
      </c>
      <c r="Q15" s="10"/>
      <c r="R15" s="10" t="s">
        <v>29</v>
      </c>
      <c r="S15" s="55" t="s">
        <v>151</v>
      </c>
      <c r="T15" s="10" t="s">
        <v>23</v>
      </c>
      <c r="U15" s="10" t="s">
        <v>31</v>
      </c>
      <c r="V15" s="10"/>
      <c r="W15" s="10" t="s">
        <v>32</v>
      </c>
      <c r="X15" s="10" t="s">
        <v>32</v>
      </c>
      <c r="Y15" s="10" t="s">
        <v>32</v>
      </c>
      <c r="Z15" s="10" t="s">
        <v>33</v>
      </c>
      <c r="AA15" s="10" t="s">
        <v>34</v>
      </c>
      <c r="AB15" s="10" t="s">
        <v>34</v>
      </c>
      <c r="AC15" s="10" t="s">
        <v>35</v>
      </c>
      <c r="AD15" s="10" t="s">
        <v>14</v>
      </c>
      <c r="AE15" s="10" t="s">
        <v>36</v>
      </c>
      <c r="AF15" s="10" t="s">
        <v>37</v>
      </c>
      <c r="AG15" s="10" t="s">
        <v>38</v>
      </c>
      <c r="AH15" s="10" t="s">
        <v>39</v>
      </c>
      <c r="AI15" s="10" t="s">
        <v>40</v>
      </c>
      <c r="AJ15" s="10" t="s">
        <v>41</v>
      </c>
      <c r="AK15" s="10" t="s">
        <v>17</v>
      </c>
      <c r="AL15" s="10" t="s">
        <v>42</v>
      </c>
      <c r="AM15" s="10" t="s">
        <v>43</v>
      </c>
      <c r="AN15" s="10" t="s">
        <v>44</v>
      </c>
      <c r="AO15" s="51" t="s">
        <v>45</v>
      </c>
      <c r="AP15" s="51" t="s">
        <v>46</v>
      </c>
      <c r="AQ15" s="10" t="s">
        <v>47</v>
      </c>
      <c r="AR15" s="10" t="s">
        <v>47</v>
      </c>
      <c r="BD15" s="23">
        <v>64</v>
      </c>
      <c r="BE15" s="23"/>
      <c r="BF15" s="23"/>
      <c r="BG15" s="23"/>
      <c r="BH15" s="23"/>
      <c r="BI15" s="23">
        <v>64</v>
      </c>
      <c r="BJ15" s="24"/>
      <c r="BK15" s="24"/>
      <c r="BL15" s="24"/>
      <c r="BM15" s="24"/>
      <c r="BO15" s="1" t="s">
        <v>48</v>
      </c>
      <c r="BP15" s="1">
        <v>4.400578942714525</v>
      </c>
      <c r="BQ15" s="1">
        <v>4.467090819542724</v>
      </c>
      <c r="BR15" s="1">
        <v>4.536554943316837</v>
      </c>
      <c r="BS15" s="1">
        <v>4.609178693124358</v>
      </c>
      <c r="CA15" s="1">
        <v>64</v>
      </c>
      <c r="CB15" s="23"/>
      <c r="CC15" s="23"/>
      <c r="CD15" s="23"/>
      <c r="CE15" s="23"/>
    </row>
    <row r="16" spans="2:83" ht="17.25">
      <c r="B16" s="10" t="s">
        <v>49</v>
      </c>
      <c r="C16" s="10" t="s">
        <v>50</v>
      </c>
      <c r="D16" s="10" t="s">
        <v>51</v>
      </c>
      <c r="E16" s="10"/>
      <c r="F16" s="52" t="s">
        <v>131</v>
      </c>
      <c r="G16" s="52" t="s">
        <v>131</v>
      </c>
      <c r="H16" s="52" t="s">
        <v>52</v>
      </c>
      <c r="I16" s="11" t="s">
        <v>53</v>
      </c>
      <c r="J16" s="11" t="s">
        <v>54</v>
      </c>
      <c r="K16" s="11" t="s">
        <v>55</v>
      </c>
      <c r="L16" s="11"/>
      <c r="M16" s="10" t="s">
        <v>56</v>
      </c>
      <c r="N16" s="10" t="s">
        <v>57</v>
      </c>
      <c r="O16" s="10" t="s">
        <v>14</v>
      </c>
      <c r="P16" s="10" t="s">
        <v>58</v>
      </c>
      <c r="Q16" s="10" t="s">
        <v>59</v>
      </c>
      <c r="R16" s="10"/>
      <c r="S16" s="10">
        <v>10</v>
      </c>
      <c r="T16" s="10" t="s">
        <v>60</v>
      </c>
      <c r="U16" s="10" t="s">
        <v>15</v>
      </c>
      <c r="V16" s="10"/>
      <c r="W16" s="10" t="s">
        <v>61</v>
      </c>
      <c r="X16" s="10" t="s">
        <v>61</v>
      </c>
      <c r="Y16" s="10" t="s">
        <v>17</v>
      </c>
      <c r="Z16" s="10" t="s">
        <v>17</v>
      </c>
      <c r="AA16" s="10" t="s">
        <v>62</v>
      </c>
      <c r="AB16" s="10" t="s">
        <v>62</v>
      </c>
      <c r="AC16" s="10" t="s">
        <v>62</v>
      </c>
      <c r="AD16" s="10" t="s">
        <v>36</v>
      </c>
      <c r="AE16" s="10" t="s">
        <v>14</v>
      </c>
      <c r="AF16" s="10"/>
      <c r="AG16" s="10"/>
      <c r="AH16" s="10" t="s">
        <v>63</v>
      </c>
      <c r="AI16" s="10" t="s">
        <v>64</v>
      </c>
      <c r="AJ16" s="10"/>
      <c r="AK16" s="10" t="s">
        <v>38</v>
      </c>
      <c r="AL16" s="10"/>
      <c r="AM16" s="10" t="s">
        <v>44</v>
      </c>
      <c r="AN16" s="10" t="s">
        <v>65</v>
      </c>
      <c r="AO16" s="10"/>
      <c r="AP16" s="10"/>
      <c r="AQ16" s="10" t="s">
        <v>66</v>
      </c>
      <c r="AR16" s="10" t="s">
        <v>67</v>
      </c>
      <c r="BD16" s="23">
        <v>62</v>
      </c>
      <c r="BE16" s="23"/>
      <c r="BF16" s="23"/>
      <c r="BG16" s="23"/>
      <c r="BH16" s="23"/>
      <c r="BI16" s="23">
        <v>62</v>
      </c>
      <c r="BO16" s="1" t="s">
        <v>3</v>
      </c>
      <c r="BP16" s="5">
        <v>0.53391248858368</v>
      </c>
      <c r="BQ16" s="5">
        <v>0.48212498731520004</v>
      </c>
      <c r="BR16" s="5">
        <v>0.43033748604671995</v>
      </c>
      <c r="BS16" s="5">
        <v>0.3785499847782401</v>
      </c>
      <c r="BU16" s="45" t="s">
        <v>69</v>
      </c>
      <c r="BV16" s="14"/>
      <c r="BW16" s="14"/>
      <c r="CA16" s="1">
        <v>62</v>
      </c>
      <c r="CB16" s="23"/>
      <c r="CC16" s="23"/>
      <c r="CD16" s="23"/>
      <c r="CE16" s="23"/>
    </row>
    <row r="17" spans="2:83" ht="15">
      <c r="B17" s="10"/>
      <c r="C17" s="10"/>
      <c r="D17" s="10" t="s">
        <v>70</v>
      </c>
      <c r="E17" s="10"/>
      <c r="F17" s="10"/>
      <c r="G17" s="10"/>
      <c r="H17" s="10"/>
      <c r="I17" s="53" t="s">
        <v>119</v>
      </c>
      <c r="J17" s="11"/>
      <c r="K17" s="11"/>
      <c r="L17" s="11"/>
      <c r="M17" s="10" t="s">
        <v>52</v>
      </c>
      <c r="N17" s="10" t="s">
        <v>52</v>
      </c>
      <c r="O17" s="10" t="s">
        <v>52</v>
      </c>
      <c r="P17" s="10" t="s">
        <v>52</v>
      </c>
      <c r="Q17" s="10" t="s">
        <v>65</v>
      </c>
      <c r="R17" s="10" t="s">
        <v>72</v>
      </c>
      <c r="S17" s="10" t="s">
        <v>52</v>
      </c>
      <c r="T17" s="10"/>
      <c r="U17" s="10" t="s">
        <v>72</v>
      </c>
      <c r="V17" s="10"/>
      <c r="W17" s="10" t="s">
        <v>73</v>
      </c>
      <c r="X17" s="10" t="s">
        <v>74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 t="s">
        <v>75</v>
      </c>
      <c r="AR17" s="10" t="s">
        <v>76</v>
      </c>
      <c r="BD17" s="23">
        <v>60</v>
      </c>
      <c r="BE17" s="23"/>
      <c r="BF17" s="23"/>
      <c r="BG17" s="23"/>
      <c r="BH17" s="23"/>
      <c r="BI17" s="23">
        <v>60</v>
      </c>
      <c r="BO17" s="1" t="s">
        <v>77</v>
      </c>
      <c r="BP17" s="1">
        <v>0.9</v>
      </c>
      <c r="BQ17" s="1">
        <v>1</v>
      </c>
      <c r="BR17" s="1">
        <v>1.1</v>
      </c>
      <c r="BS17" s="1">
        <v>1.2</v>
      </c>
      <c r="BU17" s="1" t="s">
        <v>78</v>
      </c>
      <c r="CA17" s="1">
        <v>60</v>
      </c>
      <c r="CB17" s="23"/>
      <c r="CC17" s="23"/>
      <c r="CD17" s="23"/>
      <c r="CE17" s="23"/>
    </row>
    <row r="18" spans="2:83" ht="15">
      <c r="B18" s="1">
        <v>1</v>
      </c>
      <c r="C18" s="1" t="s">
        <v>102</v>
      </c>
      <c r="D18" s="1">
        <v>66</v>
      </c>
      <c r="F18" s="5">
        <v>0.8462727272727272</v>
      </c>
      <c r="G18" s="5">
        <v>0.04301515151515151</v>
      </c>
      <c r="H18" s="5">
        <v>2.08</v>
      </c>
      <c r="I18" s="5">
        <v>1</v>
      </c>
      <c r="J18" s="5">
        <v>0</v>
      </c>
      <c r="K18" s="5">
        <v>0</v>
      </c>
      <c r="L18" s="5"/>
      <c r="M18" s="5">
        <f aca="true" t="shared" si="0" ref="M18:M28">X18</f>
        <v>0.04182369724396695</v>
      </c>
      <c r="N18" s="5">
        <f aca="true" t="shared" si="1" ref="N18:N28">AJ18</f>
        <v>0.1002115172030591</v>
      </c>
      <c r="O18" s="5">
        <f aca="true" t="shared" si="2" ref="O18:O28">AH18</f>
        <v>0.4533109369999958</v>
      </c>
      <c r="P18" s="5">
        <f aca="true" t="shared" si="3" ref="P18:P28">(N18-M18)*(1-T18)</f>
        <v>0.058387819959092147</v>
      </c>
      <c r="Q18" s="5">
        <f aca="true" t="shared" si="4" ref="Q18:Q28">AN18</f>
        <v>107.83391229127439</v>
      </c>
      <c r="R18" s="5">
        <f aca="true" t="shared" si="5" ref="R18:R28">AG18</f>
        <v>1.4487260169500111</v>
      </c>
      <c r="S18" s="5">
        <f>N18-(S$16-33)*(O18-N18)/(33-AR18)</f>
        <v>0.34486239523748685</v>
      </c>
      <c r="T18" s="5">
        <f aca="true" t="shared" si="6" ref="T18:T28">((R18/2.65)*J18)/(1-J18*(1-R18/2.65))</f>
        <v>0</v>
      </c>
      <c r="U18" s="5">
        <f aca="true" t="shared" si="7" ref="U18:U28">T18*2.65+(1-T18)*R18</f>
        <v>1.4487260169500111</v>
      </c>
      <c r="W18" s="5">
        <f>-0.024*F18+0.487*G18+0.006*H18+0.005*F18*H18-0.013*G18*H18+0.068*F18*G18+0.031</f>
        <v>0.05423131337190083</v>
      </c>
      <c r="X18" s="5">
        <f aca="true" t="shared" si="8" ref="X18:X33">W18+0.14*W18-0.02</f>
        <v>0.04182369724396695</v>
      </c>
      <c r="Y18" s="25">
        <f>-0.251*F18+0.195*G18+0.011*H18+0.006*F18*H18-0.027*G18*H18+0.452*F18*G18+0.299</f>
        <v>0.1424532051404959</v>
      </c>
      <c r="Z18" s="25">
        <f aca="true" t="shared" si="9" ref="Z18:Z33">Y18+(1.283*Y18*Y18-0.374*Y18-0.015)</f>
        <v>0.1002115172030591</v>
      </c>
      <c r="AA18" s="5">
        <f>0.278*F18+0.034*G18+0.022*H18-0.018*F18*H18-0.027*G18*H18-0.584*F18*G18+0.078</f>
        <v>0.30512706255647387</v>
      </c>
      <c r="AB18" s="5">
        <f aca="true" t="shared" si="10" ref="AB18:AB33">AA18+(0.636*AA18-0.107)</f>
        <v>0.3921878743423913</v>
      </c>
      <c r="AC18" s="5">
        <f>AB18+Z18</f>
        <v>0.49239939154545037</v>
      </c>
      <c r="AD18" s="25">
        <f>-0.097*F18+0.043</f>
        <v>-0.03908845454545454</v>
      </c>
      <c r="AE18" s="5">
        <f>AC18+AD18</f>
        <v>0.4533109369999958</v>
      </c>
      <c r="AF18" s="5">
        <f aca="true" t="shared" si="11" ref="AF18:AF33">(1-AE18)*2.65</f>
        <v>1.4487260169500111</v>
      </c>
      <c r="AG18" s="5">
        <f>AF18*(I18)</f>
        <v>1.4487260169500111</v>
      </c>
      <c r="AH18" s="5">
        <f aca="true" t="shared" si="12" ref="AH18:AH33">1-(AG18/2.65)</f>
        <v>0.4533109369999958</v>
      </c>
      <c r="AI18" s="25">
        <f>(1-AG18/2.65)-(1-AF18/2.65)</f>
        <v>0</v>
      </c>
      <c r="AJ18" s="25">
        <f>Z18+0.2*AI18</f>
        <v>0.1002115172030591</v>
      </c>
      <c r="AK18" s="25">
        <f>AH18-AJ18</f>
        <v>0.3530994197969367</v>
      </c>
      <c r="AL18" s="25">
        <f>(LN(AJ18)-LN(X18))/(LN(1500)-LN(33))</f>
        <v>0.22894570943894135</v>
      </c>
      <c r="AM18" s="25">
        <f>(1-J18)/(1-J18*(1-1.5*(R18/2.65)))</f>
        <v>1</v>
      </c>
      <c r="AN18" s="26">
        <f>1930*(AK18)^(3-AL18)*AM18</f>
        <v>107.83391229127439</v>
      </c>
      <c r="AO18" s="5">
        <f>(LN(1500)-LN(33))/(LN(AJ18)-LN(X18))</f>
        <v>4.367847741941174</v>
      </c>
      <c r="AP18" s="25">
        <f>EXP(LN(33)+(AO18*LN(AJ18)))</f>
        <v>0.001427822753120249</v>
      </c>
      <c r="AQ18" s="26">
        <f aca="true" t="shared" si="13" ref="AQ18:AQ33">-21.674*$F18-27.932*$G18-81.975*$AK18+71.121*$F18*$AK18+8.294*$G18*$AK18+14.05*$F18*$G18+27.161</f>
        <v>0.5617551026880712</v>
      </c>
      <c r="AR18" s="26">
        <f aca="true" t="shared" si="14" ref="AR18:AR33">AQ18+(0.02*AQ18^2-0.113*AQ18-0.7)</f>
        <v>-0.19541184800775913</v>
      </c>
      <c r="AS18" s="5"/>
      <c r="AV18" s="1" t="s">
        <v>79</v>
      </c>
      <c r="AX18" s="1">
        <v>3</v>
      </c>
      <c r="AY18" s="1">
        <v>5</v>
      </c>
      <c r="AZ18" s="1">
        <v>8</v>
      </c>
      <c r="BA18" s="1">
        <v>11</v>
      </c>
      <c r="BD18" s="23">
        <v>58</v>
      </c>
      <c r="BE18" s="23"/>
      <c r="BF18" s="23"/>
      <c r="BG18" s="23"/>
      <c r="BH18" s="23"/>
      <c r="BI18" s="23">
        <v>58</v>
      </c>
      <c r="BO18" s="1" t="s">
        <v>80</v>
      </c>
      <c r="BQ18" s="1" t="s">
        <v>81</v>
      </c>
      <c r="CA18" s="1">
        <v>58</v>
      </c>
      <c r="CB18" s="23"/>
      <c r="CC18" s="23"/>
      <c r="CD18" s="23"/>
      <c r="CE18" s="23"/>
    </row>
    <row r="19" spans="2:83" ht="15">
      <c r="B19" s="1">
        <v>2</v>
      </c>
      <c r="C19" s="1" t="s">
        <v>121</v>
      </c>
      <c r="D19" s="1">
        <v>32</v>
      </c>
      <c r="F19" s="5">
        <v>0.8024375</v>
      </c>
      <c r="G19" s="5">
        <v>0.051656249999999994</v>
      </c>
      <c r="H19" s="5">
        <v>2.32793875</v>
      </c>
      <c r="I19" s="5">
        <v>1</v>
      </c>
      <c r="J19" s="5">
        <v>0</v>
      </c>
      <c r="K19" s="5">
        <v>0</v>
      </c>
      <c r="L19" s="5"/>
      <c r="M19" s="5">
        <f t="shared" si="0"/>
        <v>0.05006580380539609</v>
      </c>
      <c r="N19" s="5">
        <f t="shared" si="1"/>
        <v>0.11796917189514419</v>
      </c>
      <c r="O19" s="5">
        <f t="shared" si="2"/>
        <v>0.4554316236252435</v>
      </c>
      <c r="P19" s="5">
        <f t="shared" si="3"/>
        <v>0.0679033680897481</v>
      </c>
      <c r="Q19" s="5">
        <f t="shared" si="4"/>
        <v>94.6620439864127</v>
      </c>
      <c r="R19" s="5">
        <f t="shared" si="5"/>
        <v>1.4431061973931048</v>
      </c>
      <c r="S19" s="5">
        <f>N19-(S$16-33)*(O19-N19)/(33-AR19)</f>
        <v>0.35234459415940755</v>
      </c>
      <c r="T19" s="5">
        <f t="shared" si="6"/>
        <v>0</v>
      </c>
      <c r="U19" s="5">
        <f t="shared" si="7"/>
        <v>1.4431061973931048</v>
      </c>
      <c r="W19" s="5">
        <f aca="true" t="shared" si="15" ref="W19:W33">-0.024*F19+0.487*G19+0.006*H19+0.005*F19*H19-0.013*G19*H19+0.068*F19*G19+0.031</f>
        <v>0.06146123140824218</v>
      </c>
      <c r="X19" s="5">
        <f t="shared" si="8"/>
        <v>0.05006580380539609</v>
      </c>
      <c r="Y19" s="25">
        <f aca="true" t="shared" si="16" ref="Y19:Y33">-0.251*F19+0.195*G19+0.011*H19+0.006*F19*H19-0.027*G19*H19+0.452*F19*G19+0.299</f>
        <v>0.15996562705417966</v>
      </c>
      <c r="Z19" s="25">
        <f t="shared" si="9"/>
        <v>0.11796917189514419</v>
      </c>
      <c r="AA19" s="5">
        <f aca="true" t="shared" si="17" ref="AA19:AA33">0.278*F19+0.034*G19+0.022*H19-0.018*F19*H19-0.027*G19*H19-0.584*F19*G19+0.078</f>
        <v>0.29296998119199225</v>
      </c>
      <c r="AB19" s="5">
        <f t="shared" si="10"/>
        <v>0.3722988892300993</v>
      </c>
      <c r="AC19" s="5">
        <f aca="true" t="shared" si="18" ref="AC19:AC33">AB19+Z19</f>
        <v>0.49026806112524346</v>
      </c>
      <c r="AD19" s="25">
        <f aca="true" t="shared" si="19" ref="AD19:AD33">-0.097*F19+0.043</f>
        <v>-0.03483643750000001</v>
      </c>
      <c r="AE19" s="5">
        <f aca="true" t="shared" si="20" ref="AE19:AE33">AC19+AD19</f>
        <v>0.4554316236252435</v>
      </c>
      <c r="AF19" s="5">
        <f t="shared" si="11"/>
        <v>1.4431061973931048</v>
      </c>
      <c r="AG19" s="5">
        <f aca="true" t="shared" si="21" ref="AG19:AG33">AF19*(I19)</f>
        <v>1.4431061973931048</v>
      </c>
      <c r="AH19" s="5">
        <f t="shared" si="12"/>
        <v>0.4554316236252435</v>
      </c>
      <c r="AI19" s="25">
        <f aca="true" t="shared" si="22" ref="AI19:AI33">(1-AG19/2.65)-(1-AF19/2.65)</f>
        <v>0</v>
      </c>
      <c r="AJ19" s="25">
        <f aca="true" t="shared" si="23" ref="AJ19:AJ33">Z19+0.2*AI19</f>
        <v>0.11796917189514419</v>
      </c>
      <c r="AK19" s="25">
        <f aca="true" t="shared" si="24" ref="AK19:AK33">AH19-AJ19</f>
        <v>0.33746245173009926</v>
      </c>
      <c r="AL19" s="25">
        <f aca="true" t="shared" si="25" ref="AL19:AL33">(LN(AJ19)-LN(X19))/(LN(1500)-LN(33))</f>
        <v>0.22456107076895934</v>
      </c>
      <c r="AM19" s="25">
        <f aca="true" t="shared" si="26" ref="AM19:AM33">(1-J19)/(1-J19*(1-1.5*(R19/2.65)))</f>
        <v>1</v>
      </c>
      <c r="AN19" s="26">
        <f aca="true" t="shared" si="27" ref="AN19:AN33">1930*(AK19)^(3-AL19)*AM19</f>
        <v>94.6620439864127</v>
      </c>
      <c r="AO19" s="5">
        <f aca="true" t="shared" si="28" ref="AO19:AO33">(LN(1500)-LN(33))/(LN(AJ19)-LN(X19))</f>
        <v>4.453131598347491</v>
      </c>
      <c r="AP19" s="25">
        <f aca="true" t="shared" si="29" ref="AP19:AP33">EXP(LN(33)+(AO19*LN(AJ19)))</f>
        <v>0.002426481887704965</v>
      </c>
      <c r="AQ19" s="26">
        <f t="shared" si="13"/>
        <v>0.6486247133838283</v>
      </c>
      <c r="AR19" s="26">
        <f t="shared" si="14"/>
        <v>-0.11625559885229919</v>
      </c>
      <c r="AS19" s="5"/>
      <c r="BB19" s="5"/>
      <c r="BD19" s="23">
        <v>56</v>
      </c>
      <c r="BE19" s="23"/>
      <c r="BF19" s="23"/>
      <c r="BG19" s="23"/>
      <c r="BH19" s="23"/>
      <c r="BI19" s="23">
        <v>56</v>
      </c>
      <c r="BU19" s="1" t="s">
        <v>82</v>
      </c>
      <c r="BV19" s="1" t="s">
        <v>60</v>
      </c>
      <c r="BW19" s="1" t="s">
        <v>83</v>
      </c>
      <c r="BX19" s="1" t="s">
        <v>84</v>
      </c>
      <c r="CA19" s="1">
        <v>56</v>
      </c>
      <c r="CB19" s="23"/>
      <c r="CC19" s="23"/>
      <c r="CD19" s="23"/>
      <c r="CE19" s="23"/>
    </row>
    <row r="20" spans="2:83" ht="15">
      <c r="B20" s="1">
        <v>3</v>
      </c>
      <c r="C20" s="1" t="s">
        <v>122</v>
      </c>
      <c r="D20" s="1">
        <v>277</v>
      </c>
      <c r="F20" s="5">
        <v>0.6344548736462092</v>
      </c>
      <c r="G20" s="5">
        <v>0.10299277978339348</v>
      </c>
      <c r="H20" s="5">
        <v>2.519965198555958</v>
      </c>
      <c r="I20" s="5">
        <v>1</v>
      </c>
      <c r="J20" s="5">
        <v>0</v>
      </c>
      <c r="K20" s="5">
        <v>0</v>
      </c>
      <c r="L20" s="5"/>
      <c r="M20" s="5">
        <f t="shared" si="0"/>
        <v>0.08272972350748331</v>
      </c>
      <c r="N20" s="5">
        <f t="shared" si="1"/>
        <v>0.184431534508874</v>
      </c>
      <c r="O20" s="5">
        <f t="shared" si="2"/>
        <v>0.45050262847422984</v>
      </c>
      <c r="P20" s="5">
        <f t="shared" si="3"/>
        <v>0.1017018110013907</v>
      </c>
      <c r="Q20" s="5">
        <f t="shared" si="4"/>
        <v>48.009750860294815</v>
      </c>
      <c r="R20" s="5">
        <f t="shared" si="5"/>
        <v>1.4561680345432908</v>
      </c>
      <c r="S20" s="5">
        <f aca="true" t="shared" si="30" ref="S20:S28">N20-(S$16-33)*(O20-N20)/(33-AR20)</f>
        <v>0.37585961208202656</v>
      </c>
      <c r="T20" s="5">
        <f t="shared" si="6"/>
        <v>0</v>
      </c>
      <c r="U20" s="5">
        <f t="shared" si="7"/>
        <v>1.4561680345432908</v>
      </c>
      <c r="W20" s="5">
        <f t="shared" si="15"/>
        <v>0.09011379255042395</v>
      </c>
      <c r="X20" s="5">
        <f t="shared" si="8"/>
        <v>0.08272972350748331</v>
      </c>
      <c r="Y20" s="25">
        <f t="shared" si="16"/>
        <v>0.21967593973604715</v>
      </c>
      <c r="Z20" s="25">
        <f t="shared" si="9"/>
        <v>0.184431534508874</v>
      </c>
      <c r="AA20" s="5">
        <f t="shared" si="17"/>
        <v>0.2393723818514903</v>
      </c>
      <c r="AB20" s="5">
        <f t="shared" si="10"/>
        <v>0.2846132167090381</v>
      </c>
      <c r="AC20" s="5">
        <f t="shared" si="18"/>
        <v>0.4690447512179121</v>
      </c>
      <c r="AD20" s="25">
        <f t="shared" si="19"/>
        <v>-0.018542122743682297</v>
      </c>
      <c r="AE20" s="5">
        <f t="shared" si="20"/>
        <v>0.45050262847422984</v>
      </c>
      <c r="AF20" s="5">
        <f t="shared" si="11"/>
        <v>1.4561680345432908</v>
      </c>
      <c r="AG20" s="5">
        <f t="shared" si="21"/>
        <v>1.4561680345432908</v>
      </c>
      <c r="AH20" s="5">
        <f t="shared" si="12"/>
        <v>0.45050262847422984</v>
      </c>
      <c r="AI20" s="25">
        <f t="shared" si="22"/>
        <v>0</v>
      </c>
      <c r="AJ20" s="25">
        <f t="shared" si="23"/>
        <v>0.184431534508874</v>
      </c>
      <c r="AK20" s="25">
        <f t="shared" si="24"/>
        <v>0.26607109396535583</v>
      </c>
      <c r="AL20" s="25">
        <f t="shared" si="25"/>
        <v>0.2100496928839884</v>
      </c>
      <c r="AM20" s="25">
        <f t="shared" si="26"/>
        <v>1</v>
      </c>
      <c r="AN20" s="26">
        <f t="shared" si="27"/>
        <v>48.009750860294815</v>
      </c>
      <c r="AO20" s="5">
        <f t="shared" si="28"/>
        <v>4.760778205718708</v>
      </c>
      <c r="AP20" s="25">
        <f t="shared" si="29"/>
        <v>0.010551593798214937</v>
      </c>
      <c r="AQ20" s="26">
        <f t="shared" si="13"/>
        <v>1.8731669232386423</v>
      </c>
      <c r="AR20" s="26">
        <f t="shared" si="14"/>
        <v>1.031674147358982</v>
      </c>
      <c r="AS20" s="5"/>
      <c r="AV20" s="1" t="s">
        <v>30</v>
      </c>
      <c r="AX20" s="5">
        <f>$S30</f>
        <v>0.46340688873350877</v>
      </c>
      <c r="AY20" s="5">
        <f>$S31</f>
        <v>0.4828378667433999</v>
      </c>
      <c r="AZ20" s="5">
        <f>$S32</f>
        <v>0.4669985119200473</v>
      </c>
      <c r="BA20" s="5">
        <f>$S33</f>
        <v>0.5078294276570711</v>
      </c>
      <c r="BB20" s="5"/>
      <c r="BD20" s="23">
        <f aca="true" t="shared" si="31" ref="BD20:BD25">BD19-2</f>
        <v>54</v>
      </c>
      <c r="BE20" s="23"/>
      <c r="BF20" s="23"/>
      <c r="BG20" s="23"/>
      <c r="BH20" s="23"/>
      <c r="BI20" s="23">
        <v>54</v>
      </c>
      <c r="BO20" s="1">
        <f aca="true" t="shared" si="32" ref="BO20:BO38">BI20/100/$BP$16</f>
        <v>1.0114017026132287</v>
      </c>
      <c r="BP20" s="26">
        <v>25.043627272756698</v>
      </c>
      <c r="BQ20" s="26">
        <v>12.141446393783953</v>
      </c>
      <c r="BR20" s="26">
        <v>4.558694484951423</v>
      </c>
      <c r="BS20" s="26">
        <v>0.9972375468983682</v>
      </c>
      <c r="BU20" s="5">
        <v>0</v>
      </c>
      <c r="BV20" s="5">
        <v>0</v>
      </c>
      <c r="BW20" s="5">
        <v>1.3723687836147198</v>
      </c>
      <c r="BX20" s="26">
        <v>12.141446393783953</v>
      </c>
      <c r="CA20" s="1">
        <f aca="true" t="shared" si="33" ref="CA20:CA25">CA19-2</f>
        <v>54</v>
      </c>
      <c r="CB20" s="23"/>
      <c r="CC20" s="23"/>
      <c r="CD20" s="23"/>
      <c r="CE20" s="23"/>
    </row>
    <row r="21" spans="2:83" ht="15">
      <c r="B21" s="1">
        <v>4</v>
      </c>
      <c r="C21" s="1" t="s">
        <v>123</v>
      </c>
      <c r="D21" s="1">
        <v>318</v>
      </c>
      <c r="F21" s="5">
        <v>0.41237421383647804</v>
      </c>
      <c r="G21" s="5">
        <v>0.1854779874213836</v>
      </c>
      <c r="H21" s="5">
        <v>3.055654465408804</v>
      </c>
      <c r="I21" s="5">
        <v>1</v>
      </c>
      <c r="J21" s="5">
        <v>0</v>
      </c>
      <c r="K21" s="5">
        <v>0</v>
      </c>
      <c r="L21" s="5"/>
      <c r="M21" s="5">
        <f t="shared" si="0"/>
        <v>0.13264409143084757</v>
      </c>
      <c r="N21" s="5">
        <f t="shared" si="1"/>
        <v>0.27732918565424886</v>
      </c>
      <c r="O21" s="5">
        <f t="shared" si="2"/>
        <v>0.47356583005495534</v>
      </c>
      <c r="P21" s="5">
        <f t="shared" si="3"/>
        <v>0.14468509422340128</v>
      </c>
      <c r="Q21" s="5">
        <f t="shared" si="4"/>
        <v>19.978354234713</v>
      </c>
      <c r="R21" s="5">
        <f t="shared" si="5"/>
        <v>1.3950505503543682</v>
      </c>
      <c r="S21" s="5">
        <f t="shared" si="30"/>
        <v>0.4290927903070301</v>
      </c>
      <c r="T21" s="5">
        <f t="shared" si="6"/>
        <v>0</v>
      </c>
      <c r="U21" s="5">
        <f t="shared" si="7"/>
        <v>1.3950505503543682</v>
      </c>
      <c r="W21" s="5">
        <f t="shared" si="15"/>
        <v>0.13389832581653294</v>
      </c>
      <c r="X21" s="5">
        <f t="shared" si="8"/>
        <v>0.13264409143084757</v>
      </c>
      <c r="Y21" s="25">
        <f t="shared" si="16"/>
        <v>0.29210431368738893</v>
      </c>
      <c r="Z21" s="25">
        <f t="shared" si="9"/>
        <v>0.27732918565424886</v>
      </c>
      <c r="AA21" s="5">
        <f t="shared" si="17"/>
        <v>0.18351891390149438</v>
      </c>
      <c r="AB21" s="5">
        <f t="shared" si="10"/>
        <v>0.1932369431428448</v>
      </c>
      <c r="AC21" s="5">
        <f t="shared" si="18"/>
        <v>0.4705661287970937</v>
      </c>
      <c r="AD21" s="25">
        <f t="shared" si="19"/>
        <v>0.0029997012578616283</v>
      </c>
      <c r="AE21" s="5">
        <f t="shared" si="20"/>
        <v>0.47356583005495534</v>
      </c>
      <c r="AF21" s="5">
        <f t="shared" si="11"/>
        <v>1.3950505503543682</v>
      </c>
      <c r="AG21" s="5">
        <f t="shared" si="21"/>
        <v>1.3950505503543682</v>
      </c>
      <c r="AH21" s="5">
        <f t="shared" si="12"/>
        <v>0.47356583005495534</v>
      </c>
      <c r="AI21" s="25">
        <f t="shared" si="22"/>
        <v>0</v>
      </c>
      <c r="AJ21" s="25">
        <f t="shared" si="23"/>
        <v>0.27732918565424886</v>
      </c>
      <c r="AK21" s="25">
        <f t="shared" si="24"/>
        <v>0.19623664440070648</v>
      </c>
      <c r="AL21" s="25">
        <f t="shared" si="25"/>
        <v>0.19323844709343654</v>
      </c>
      <c r="AM21" s="25">
        <f t="shared" si="26"/>
        <v>1</v>
      </c>
      <c r="AN21" s="26">
        <f t="shared" si="27"/>
        <v>19.978354234713</v>
      </c>
      <c r="AO21" s="5">
        <f t="shared" si="28"/>
        <v>5.174953613224134</v>
      </c>
      <c r="AP21" s="25">
        <f t="shared" si="29"/>
        <v>0.04325555466964396</v>
      </c>
      <c r="AQ21" s="26">
        <f t="shared" si="13"/>
        <v>4.087765641083518</v>
      </c>
      <c r="AR21" s="26">
        <f t="shared" si="14"/>
        <v>3.2600446823695393</v>
      </c>
      <c r="AS21" s="5"/>
      <c r="AV21" s="1" t="s">
        <v>26</v>
      </c>
      <c r="AX21" s="5">
        <f>$N30</f>
        <v>0.275007479385088</v>
      </c>
      <c r="AY21" s="5">
        <f>$N31</f>
        <v>0.3313766590092447</v>
      </c>
      <c r="AZ21" s="5">
        <f>$N32</f>
        <v>0.3519646657801598</v>
      </c>
      <c r="BA21" s="5">
        <f>$N33</f>
        <v>0.43455169849824726</v>
      </c>
      <c r="BB21" s="5"/>
      <c r="BD21" s="23">
        <f t="shared" si="31"/>
        <v>52</v>
      </c>
      <c r="BE21" s="23"/>
      <c r="BF21" s="23"/>
      <c r="BG21" s="23"/>
      <c r="BH21" s="23"/>
      <c r="BI21" s="23">
        <v>52</v>
      </c>
      <c r="BO21" s="1">
        <f t="shared" si="32"/>
        <v>0.9739423802942203</v>
      </c>
      <c r="BP21" s="26">
        <f aca="true" t="shared" si="34" ref="BP21:BS33">BP$20*$BO21^(3+2*BP$15)</f>
        <v>18.33903468928976</v>
      </c>
      <c r="BQ21" s="26">
        <f t="shared" si="34"/>
        <v>8.859808174354924</v>
      </c>
      <c r="BR21" s="26">
        <f t="shared" si="34"/>
        <v>3.314372572180048</v>
      </c>
      <c r="BS21" s="26">
        <f t="shared" si="34"/>
        <v>0.72226063565324</v>
      </c>
      <c r="BU21" s="5">
        <v>0.05</v>
      </c>
      <c r="BV21" s="5">
        <v>0.02653337068447408</v>
      </c>
      <c r="BW21" s="5">
        <v>1.406268646277126</v>
      </c>
      <c r="BX21" s="26">
        <v>11.664543073356816</v>
      </c>
      <c r="CA21" s="1">
        <f t="shared" si="33"/>
        <v>52</v>
      </c>
      <c r="CB21" s="23"/>
      <c r="CC21" s="23"/>
      <c r="CD21" s="23"/>
      <c r="CE21" s="23"/>
    </row>
    <row r="22" spans="2:83" ht="15">
      <c r="B22" s="1">
        <v>5</v>
      </c>
      <c r="C22" s="1" t="s">
        <v>124</v>
      </c>
      <c r="D22" s="1">
        <v>736</v>
      </c>
      <c r="F22" s="5">
        <v>0.15038994565217392</v>
      </c>
      <c r="G22" s="5">
        <v>0.1801073369565219</v>
      </c>
      <c r="H22" s="5">
        <v>3.045249239130434</v>
      </c>
      <c r="I22" s="5">
        <v>1</v>
      </c>
      <c r="J22" s="5">
        <v>0</v>
      </c>
      <c r="K22" s="5">
        <v>0</v>
      </c>
      <c r="L22" s="5"/>
      <c r="M22" s="5">
        <f t="shared" si="0"/>
        <v>0.1286286654128268</v>
      </c>
      <c r="N22" s="5">
        <f t="shared" si="1"/>
        <v>0.3313766590092447</v>
      </c>
      <c r="O22" s="5">
        <f t="shared" si="2"/>
        <v>0.5048258163607022</v>
      </c>
      <c r="P22" s="5">
        <f t="shared" si="3"/>
        <v>0.20274799359641787</v>
      </c>
      <c r="Q22" s="5">
        <f t="shared" si="4"/>
        <v>15.54946932044418</v>
      </c>
      <c r="R22" s="5">
        <f t="shared" si="5"/>
        <v>1.3122115866441388</v>
      </c>
      <c r="S22" s="5">
        <f t="shared" si="30"/>
        <v>0.4828378667433999</v>
      </c>
      <c r="T22" s="5">
        <f t="shared" si="6"/>
        <v>0</v>
      </c>
      <c r="U22" s="5">
        <f t="shared" si="7"/>
        <v>1.3122115866441388</v>
      </c>
      <c r="W22" s="5">
        <f t="shared" si="15"/>
        <v>0.13037602229195333</v>
      </c>
      <c r="X22" s="5">
        <f t="shared" si="8"/>
        <v>0.1286286654128268</v>
      </c>
      <c r="Y22" s="25">
        <f t="shared" si="16"/>
        <v>0.33005293079394304</v>
      </c>
      <c r="Z22" s="25">
        <f t="shared" si="9"/>
        <v>0.3313766590092447</v>
      </c>
      <c r="AA22" s="5">
        <f t="shared" si="17"/>
        <v>0.15405683501205292</v>
      </c>
      <c r="AB22" s="5">
        <f t="shared" si="10"/>
        <v>0.14503698207971857</v>
      </c>
      <c r="AC22" s="5">
        <f t="shared" si="18"/>
        <v>0.4764136410889632</v>
      </c>
      <c r="AD22" s="25">
        <f t="shared" si="19"/>
        <v>0.028412175271739126</v>
      </c>
      <c r="AE22" s="5">
        <f t="shared" si="20"/>
        <v>0.5048258163607023</v>
      </c>
      <c r="AF22" s="5">
        <f t="shared" si="11"/>
        <v>1.3122115866441388</v>
      </c>
      <c r="AG22" s="5">
        <f t="shared" si="21"/>
        <v>1.3122115866441388</v>
      </c>
      <c r="AH22" s="5">
        <f t="shared" si="12"/>
        <v>0.5048258163607022</v>
      </c>
      <c r="AI22" s="25">
        <f t="shared" si="22"/>
        <v>0</v>
      </c>
      <c r="AJ22" s="25">
        <f t="shared" si="23"/>
        <v>0.3313766590092447</v>
      </c>
      <c r="AK22" s="25">
        <f t="shared" si="24"/>
        <v>0.17344915735145755</v>
      </c>
      <c r="AL22" s="25">
        <f t="shared" si="25"/>
        <v>0.24794267308849663</v>
      </c>
      <c r="AM22" s="25">
        <f t="shared" si="26"/>
        <v>1</v>
      </c>
      <c r="AN22" s="26">
        <f t="shared" si="27"/>
        <v>15.54946932044418</v>
      </c>
      <c r="AO22" s="5">
        <f t="shared" si="28"/>
        <v>4.033190364302785</v>
      </c>
      <c r="AP22" s="25">
        <f t="shared" si="29"/>
        <v>0.3836020412560078</v>
      </c>
      <c r="AQ22" s="26">
        <f t="shared" si="13"/>
        <v>7.147050560821015</v>
      </c>
      <c r="AR22" s="26">
        <f t="shared" si="14"/>
        <v>6.66104048182688</v>
      </c>
      <c r="AS22" s="5"/>
      <c r="AV22" s="1" t="s">
        <v>25</v>
      </c>
      <c r="AX22" s="5">
        <f>$M30</f>
        <v>0.0483088</v>
      </c>
      <c r="AY22" s="5">
        <f>$M31</f>
        <v>0.1286286654128268</v>
      </c>
      <c r="AZ22" s="5">
        <f>$M32</f>
        <v>0.20321717607297188</v>
      </c>
      <c r="BA22" s="5">
        <f>$M33</f>
        <v>0.31862892619568156</v>
      </c>
      <c r="BB22" s="5"/>
      <c r="BD22" s="23">
        <f t="shared" si="31"/>
        <v>50</v>
      </c>
      <c r="BE22" s="23"/>
      <c r="BF22" s="23"/>
      <c r="BG22" s="23"/>
      <c r="BH22" s="23"/>
      <c r="BI22" s="23">
        <v>50</v>
      </c>
      <c r="BO22" s="1">
        <f t="shared" si="32"/>
        <v>0.9364830579752118</v>
      </c>
      <c r="BP22" s="26">
        <f t="shared" si="34"/>
        <v>11.544186800733005</v>
      </c>
      <c r="BQ22" s="26">
        <f t="shared" si="34"/>
        <v>5.54811371516088</v>
      </c>
      <c r="BR22" s="26">
        <f t="shared" si="34"/>
        <v>2.064219846378179</v>
      </c>
      <c r="BS22" s="26">
        <f t="shared" si="34"/>
        <v>0.44727489119340375</v>
      </c>
      <c r="BU22" s="5">
        <v>0.1</v>
      </c>
      <c r="BV22" s="5">
        <v>0.05441078097733056</v>
      </c>
      <c r="BW22" s="5">
        <v>1.4418856958992596</v>
      </c>
      <c r="BX22" s="26">
        <v>11.17675288662775</v>
      </c>
      <c r="CA22" s="1">
        <f t="shared" si="33"/>
        <v>50</v>
      </c>
      <c r="CB22" s="23"/>
      <c r="CC22" s="23"/>
      <c r="CD22" s="23"/>
      <c r="CE22" s="23"/>
    </row>
    <row r="23" spans="2:83" ht="15">
      <c r="B23" s="1">
        <v>6</v>
      </c>
      <c r="C23" s="1" t="s">
        <v>125</v>
      </c>
      <c r="D23" s="1">
        <v>40</v>
      </c>
      <c r="F23" s="5">
        <v>0.049400000000000006</v>
      </c>
      <c r="G23" s="5">
        <v>0.100525</v>
      </c>
      <c r="H23" s="5">
        <v>1.8938139999999997</v>
      </c>
      <c r="I23" s="5">
        <v>1</v>
      </c>
      <c r="J23" s="5">
        <v>0</v>
      </c>
      <c r="K23" s="5">
        <v>0</v>
      </c>
      <c r="L23" s="5"/>
      <c r="M23" s="5">
        <f t="shared" si="0"/>
        <v>0.08084842551949298</v>
      </c>
      <c r="N23" s="5">
        <f t="shared" si="1"/>
        <v>0.3235300494792884</v>
      </c>
      <c r="O23" s="5">
        <f t="shared" si="2"/>
        <v>0.46265868365744733</v>
      </c>
      <c r="P23" s="5">
        <f t="shared" si="3"/>
        <v>0.2426816239597954</v>
      </c>
      <c r="Q23" s="5">
        <f t="shared" si="4"/>
        <v>10.642092236547434</v>
      </c>
      <c r="R23" s="5">
        <f t="shared" si="5"/>
        <v>1.4239544883077646</v>
      </c>
      <c r="S23" s="5">
        <f t="shared" si="30"/>
        <v>0.4883456346413664</v>
      </c>
      <c r="T23" s="5">
        <f t="shared" si="6"/>
        <v>0</v>
      </c>
      <c r="U23" s="5">
        <f t="shared" si="7"/>
        <v>1.4239544883077646</v>
      </c>
      <c r="W23" s="5">
        <f t="shared" si="15"/>
        <v>0.08846353115744998</v>
      </c>
      <c r="X23" s="5">
        <f t="shared" si="8"/>
        <v>0.08084842551949298</v>
      </c>
      <c r="Y23" s="25">
        <f t="shared" si="16"/>
        <v>0.32470071547615</v>
      </c>
      <c r="Z23" s="25">
        <f t="shared" si="9"/>
        <v>0.3235300494792884</v>
      </c>
      <c r="AA23" s="5">
        <f t="shared" si="17"/>
        <v>0.12709072993775</v>
      </c>
      <c r="AB23" s="5">
        <f t="shared" si="10"/>
        <v>0.100920434178159</v>
      </c>
      <c r="AC23" s="5">
        <f t="shared" si="18"/>
        <v>0.42445048365744736</v>
      </c>
      <c r="AD23" s="25">
        <f t="shared" si="19"/>
        <v>0.0382082</v>
      </c>
      <c r="AE23" s="5">
        <f t="shared" si="20"/>
        <v>0.46265868365744733</v>
      </c>
      <c r="AF23" s="5">
        <f t="shared" si="11"/>
        <v>1.4239544883077646</v>
      </c>
      <c r="AG23" s="5">
        <f t="shared" si="21"/>
        <v>1.4239544883077646</v>
      </c>
      <c r="AH23" s="5">
        <f t="shared" si="12"/>
        <v>0.46265868365744733</v>
      </c>
      <c r="AI23" s="25">
        <f t="shared" si="22"/>
        <v>0</v>
      </c>
      <c r="AJ23" s="25">
        <f t="shared" si="23"/>
        <v>0.3235300494792884</v>
      </c>
      <c r="AK23" s="25">
        <f t="shared" si="24"/>
        <v>0.13912863417815896</v>
      </c>
      <c r="AL23" s="25">
        <f t="shared" si="25"/>
        <v>0.3633272792312185</v>
      </c>
      <c r="AM23" s="25">
        <f t="shared" si="26"/>
        <v>1</v>
      </c>
      <c r="AN23" s="26">
        <f t="shared" si="27"/>
        <v>10.642092236547434</v>
      </c>
      <c r="AO23" s="5">
        <f t="shared" si="28"/>
        <v>2.7523394392954685</v>
      </c>
      <c r="AP23" s="25">
        <f t="shared" si="29"/>
        <v>1.4778577429435278</v>
      </c>
      <c r="AQ23" s="26">
        <f t="shared" si="13"/>
        <v>12.551952202965431</v>
      </c>
      <c r="AR23" s="26">
        <f t="shared" si="14"/>
        <v>13.584611686140914</v>
      </c>
      <c r="AS23" s="5"/>
      <c r="AV23" s="1" t="s">
        <v>85</v>
      </c>
      <c r="AX23" s="5">
        <f>$O30</f>
        <v>0.29524175313664003</v>
      </c>
      <c r="AY23" s="5">
        <f>$O31</f>
        <v>0.5048258163607022</v>
      </c>
      <c r="AZ23" s="5">
        <f>$O32</f>
        <v>0.4967506649562463</v>
      </c>
      <c r="BA23" s="5">
        <f>$O33</f>
        <v>0.5311424904565721</v>
      </c>
      <c r="BB23" s="5"/>
      <c r="BD23" s="23">
        <f t="shared" si="31"/>
        <v>48</v>
      </c>
      <c r="BE23" s="23"/>
      <c r="BF23" s="23"/>
      <c r="BG23" s="23"/>
      <c r="BH23" s="23"/>
      <c r="BI23" s="23">
        <v>48</v>
      </c>
      <c r="BO23" s="1">
        <f t="shared" si="32"/>
        <v>0.8990237356562033</v>
      </c>
      <c r="BP23" s="26">
        <f t="shared" si="34"/>
        <v>7.130883932456581</v>
      </c>
      <c r="BQ23" s="26">
        <f t="shared" si="34"/>
        <v>3.4085292776126903</v>
      </c>
      <c r="BR23" s="26">
        <f t="shared" si="34"/>
        <v>1.2609985801750192</v>
      </c>
      <c r="BS23" s="26">
        <f t="shared" si="34"/>
        <v>0.2716177254002007</v>
      </c>
      <c r="BU23" s="5">
        <v>0.15</v>
      </c>
      <c r="BV23" s="5">
        <v>0.08373700745098805</v>
      </c>
      <c r="BW23" s="5">
        <v>1.479353798300789</v>
      </c>
      <c r="BX23" s="26">
        <v>10.677698737280368</v>
      </c>
      <c r="CA23" s="1">
        <f t="shared" si="33"/>
        <v>48</v>
      </c>
      <c r="CB23" s="23"/>
      <c r="CC23" s="23"/>
      <c r="CD23" s="23"/>
      <c r="CE23" s="23"/>
    </row>
    <row r="24" spans="2:83" ht="15">
      <c r="B24" s="1">
        <v>7</v>
      </c>
      <c r="C24" s="1" t="s">
        <v>126</v>
      </c>
      <c r="D24" s="1">
        <v>39</v>
      </c>
      <c r="F24" s="5">
        <v>0.5322307692307692</v>
      </c>
      <c r="G24" s="5">
        <v>0.2621794871794872</v>
      </c>
      <c r="H24" s="5">
        <v>2.290709743589743</v>
      </c>
      <c r="I24" s="5">
        <v>1</v>
      </c>
      <c r="J24" s="5">
        <v>0</v>
      </c>
      <c r="K24" s="5">
        <v>0</v>
      </c>
      <c r="L24" s="5"/>
      <c r="M24" s="5">
        <f t="shared" si="0"/>
        <v>0.17086937720990927</v>
      </c>
      <c r="N24" s="5">
        <f t="shared" si="1"/>
        <v>0.28257501414289343</v>
      </c>
      <c r="O24" s="5">
        <f t="shared" si="2"/>
        <v>0.43789899516849484</v>
      </c>
      <c r="P24" s="5">
        <f t="shared" si="3"/>
        <v>0.11170563693298416</v>
      </c>
      <c r="Q24" s="5">
        <f t="shared" si="4"/>
        <v>9.24417200858804</v>
      </c>
      <c r="R24" s="5">
        <f t="shared" si="5"/>
        <v>1.4895676628034886</v>
      </c>
      <c r="S24" s="5">
        <f t="shared" si="30"/>
        <v>0.4012795922490355</v>
      </c>
      <c r="T24" s="5">
        <f t="shared" si="6"/>
        <v>0</v>
      </c>
      <c r="U24" s="5">
        <f t="shared" si="7"/>
        <v>1.4895676628034886</v>
      </c>
      <c r="W24" s="5">
        <f t="shared" si="15"/>
        <v>0.16742927825430637</v>
      </c>
      <c r="X24" s="5">
        <f t="shared" si="8"/>
        <v>0.17086937720990927</v>
      </c>
      <c r="Y24" s="25">
        <f t="shared" si="16"/>
        <v>0.2959044950404734</v>
      </c>
      <c r="Z24" s="25">
        <f t="shared" si="9"/>
        <v>0.28257501414289343</v>
      </c>
      <c r="AA24" s="5">
        <f t="shared" si="17"/>
        <v>0.16561758291013812</v>
      </c>
      <c r="AB24" s="5">
        <f t="shared" si="10"/>
        <v>0.16395036564098597</v>
      </c>
      <c r="AC24" s="5">
        <f t="shared" si="18"/>
        <v>0.4465253797838794</v>
      </c>
      <c r="AD24" s="25">
        <f t="shared" si="19"/>
        <v>-0.008626384615384612</v>
      </c>
      <c r="AE24" s="5">
        <f t="shared" si="20"/>
        <v>0.4378989951684948</v>
      </c>
      <c r="AF24" s="5">
        <f t="shared" si="11"/>
        <v>1.4895676628034886</v>
      </c>
      <c r="AG24" s="5">
        <f t="shared" si="21"/>
        <v>1.4895676628034886</v>
      </c>
      <c r="AH24" s="5">
        <f t="shared" si="12"/>
        <v>0.43789899516849484</v>
      </c>
      <c r="AI24" s="25">
        <f t="shared" si="22"/>
        <v>0</v>
      </c>
      <c r="AJ24" s="25">
        <f t="shared" si="23"/>
        <v>0.28257501414289343</v>
      </c>
      <c r="AK24" s="25">
        <f t="shared" si="24"/>
        <v>0.1553239810256014</v>
      </c>
      <c r="AL24" s="25">
        <f t="shared" si="25"/>
        <v>0.13180050123611664</v>
      </c>
      <c r="AM24" s="25">
        <f t="shared" si="26"/>
        <v>1</v>
      </c>
      <c r="AN24" s="26">
        <f t="shared" si="27"/>
        <v>9.24417200858804</v>
      </c>
      <c r="AO24" s="5">
        <f t="shared" si="28"/>
        <v>7.587224560007781</v>
      </c>
      <c r="AP24" s="25">
        <f t="shared" si="29"/>
        <v>0.0022601772984271453</v>
      </c>
      <c r="AQ24" s="26">
        <f t="shared" si="13"/>
        <v>3.747286161552406</v>
      </c>
      <c r="AR24" s="26">
        <f t="shared" si="14"/>
        <v>2.9046858968282274</v>
      </c>
      <c r="AS24" s="5"/>
      <c r="AV24" s="1" t="s">
        <v>86</v>
      </c>
      <c r="AX24" s="25">
        <f>$AP30</f>
        <v>1.941476529475999</v>
      </c>
      <c r="AY24" s="25">
        <f>$AP31</f>
        <v>0.3836020412560078</v>
      </c>
      <c r="AZ24" s="25">
        <f>$AP32</f>
        <v>0.023291034677899374</v>
      </c>
      <c r="BA24" s="25">
        <f>$AP33</f>
        <v>0.0011647191365648218</v>
      </c>
      <c r="BB24" s="5"/>
      <c r="BD24" s="23">
        <f t="shared" si="31"/>
        <v>46</v>
      </c>
      <c r="BE24" s="23"/>
      <c r="BF24" s="23"/>
      <c r="BG24" s="23"/>
      <c r="BH24" s="23">
        <f aca="true" t="shared" si="35" ref="BH24:BH41">$BA$24*(BD24/100)^(-$BA$25)</f>
        <v>16.386591721415723</v>
      </c>
      <c r="BI24" s="23">
        <v>46</v>
      </c>
      <c r="BL24" s="1">
        <f aca="true" t="shared" si="36" ref="BL24:BL32">AZ$26*(($BI24/100)/AZ$23)^(3+2*AZ$25)</f>
        <v>2.110848917341711</v>
      </c>
      <c r="BO24" s="1">
        <f t="shared" si="32"/>
        <v>0.8615644133371949</v>
      </c>
      <c r="BP24" s="26">
        <f t="shared" si="34"/>
        <v>4.315367423238856</v>
      </c>
      <c r="BQ24" s="26">
        <f t="shared" si="34"/>
        <v>2.051080510137001</v>
      </c>
      <c r="BR24" s="26">
        <f t="shared" si="34"/>
        <v>0.7543317880350818</v>
      </c>
      <c r="BS24" s="26">
        <f t="shared" si="34"/>
        <v>0.1614809335618256</v>
      </c>
      <c r="BU24" s="5">
        <v>0.2</v>
      </c>
      <c r="BV24" s="5">
        <v>0.11462800790875503</v>
      </c>
      <c r="BW24" s="5">
        <v>1.5188211047910039</v>
      </c>
      <c r="BX24" s="26">
        <v>10.166985909890023</v>
      </c>
      <c r="CA24" s="1">
        <f t="shared" si="33"/>
        <v>46</v>
      </c>
      <c r="CB24" s="23"/>
      <c r="CC24" s="23"/>
      <c r="CD24" s="23"/>
      <c r="CE24" s="23"/>
    </row>
    <row r="25" spans="2:83" ht="15">
      <c r="B25" s="1">
        <v>8</v>
      </c>
      <c r="C25" s="1" t="s">
        <v>127</v>
      </c>
      <c r="D25" s="1">
        <v>130</v>
      </c>
      <c r="F25" s="5">
        <v>0.2911769230769231</v>
      </c>
      <c r="G25" s="5">
        <v>0.3157692307692308</v>
      </c>
      <c r="H25" s="5">
        <v>3.5097987692307693</v>
      </c>
      <c r="I25" s="5">
        <v>1</v>
      </c>
      <c r="J25" s="5">
        <v>0</v>
      </c>
      <c r="K25" s="5">
        <v>0</v>
      </c>
      <c r="L25" s="5"/>
      <c r="M25" s="5">
        <f t="shared" si="0"/>
        <v>0.20321717607297188</v>
      </c>
      <c r="N25" s="5">
        <f t="shared" si="1"/>
        <v>0.3519646657801598</v>
      </c>
      <c r="O25" s="5">
        <f t="shared" si="2"/>
        <v>0.4967506649562463</v>
      </c>
      <c r="P25" s="5">
        <f t="shared" si="3"/>
        <v>0.1487474897071879</v>
      </c>
      <c r="Q25" s="5">
        <f t="shared" si="4"/>
        <v>7.735977208659201</v>
      </c>
      <c r="R25" s="5">
        <f t="shared" si="5"/>
        <v>1.3336107378659472</v>
      </c>
      <c r="S25" s="5">
        <f t="shared" si="30"/>
        <v>0.4669985119200473</v>
      </c>
      <c r="T25" s="5">
        <f t="shared" si="6"/>
        <v>0</v>
      </c>
      <c r="U25" s="5">
        <f t="shared" si="7"/>
        <v>1.3336107378659472</v>
      </c>
      <c r="W25" s="5">
        <f t="shared" si="15"/>
        <v>0.1958045404148876</v>
      </c>
      <c r="X25" s="5">
        <f t="shared" si="8"/>
        <v>0.20321717607297188</v>
      </c>
      <c r="Y25" s="25">
        <f t="shared" si="16"/>
        <v>0.34386448913781775</v>
      </c>
      <c r="Z25" s="25">
        <f t="shared" si="9"/>
        <v>0.3519646657801598</v>
      </c>
      <c r="AA25" s="5">
        <f t="shared" si="17"/>
        <v>0.14488396131696096</v>
      </c>
      <c r="AB25" s="5">
        <f t="shared" si="10"/>
        <v>0.13003016071454815</v>
      </c>
      <c r="AC25" s="5">
        <f t="shared" si="18"/>
        <v>0.48199482649470793</v>
      </c>
      <c r="AD25" s="25">
        <f t="shared" si="19"/>
        <v>0.014755838461538454</v>
      </c>
      <c r="AE25" s="5">
        <f t="shared" si="20"/>
        <v>0.49675066495624637</v>
      </c>
      <c r="AF25" s="5">
        <f t="shared" si="11"/>
        <v>1.3336107378659472</v>
      </c>
      <c r="AG25" s="5">
        <f t="shared" si="21"/>
        <v>1.3336107378659472</v>
      </c>
      <c r="AH25" s="5">
        <f t="shared" si="12"/>
        <v>0.4967506649562463</v>
      </c>
      <c r="AI25" s="25">
        <f t="shared" si="22"/>
        <v>0</v>
      </c>
      <c r="AJ25" s="25">
        <f t="shared" si="23"/>
        <v>0.3519646657801598</v>
      </c>
      <c r="AK25" s="25">
        <f t="shared" si="24"/>
        <v>0.14478599917608653</v>
      </c>
      <c r="AL25" s="25">
        <f t="shared" si="25"/>
        <v>0.14390801045221607</v>
      </c>
      <c r="AM25" s="25">
        <f t="shared" si="26"/>
        <v>1</v>
      </c>
      <c r="AN25" s="26">
        <f t="shared" si="27"/>
        <v>7.735977208659201</v>
      </c>
      <c r="AO25" s="5">
        <f t="shared" si="28"/>
        <v>6.948883504522112</v>
      </c>
      <c r="AP25" s="25">
        <f t="shared" si="29"/>
        <v>0.023291034677899374</v>
      </c>
      <c r="AQ25" s="26">
        <f t="shared" si="13"/>
        <v>4.830492658032089</v>
      </c>
      <c r="AR25" s="26">
        <f t="shared" si="14"/>
        <v>4.051320174060502</v>
      </c>
      <c r="AS25" s="5"/>
      <c r="AV25" s="1" t="s">
        <v>87</v>
      </c>
      <c r="AX25" s="5">
        <f>$AO30</f>
        <v>2.194541580777808</v>
      </c>
      <c r="AY25" s="5">
        <f>$AO31</f>
        <v>4.033190364302785</v>
      </c>
      <c r="AZ25" s="5">
        <f>$AO32</f>
        <v>6.948883504522112</v>
      </c>
      <c r="BA25" s="5">
        <f>$AO33</f>
        <v>12.300559692261906</v>
      </c>
      <c r="BB25" s="5"/>
      <c r="BD25" s="23">
        <f t="shared" si="31"/>
        <v>44</v>
      </c>
      <c r="BE25" s="23"/>
      <c r="BF25" s="23"/>
      <c r="BG25" s="23">
        <f aca="true" t="shared" si="37" ref="BG25:BG42">$AZ$24*(BD25/100)^(-$AZ$25)</f>
        <v>6.995110783945304</v>
      </c>
      <c r="BH25" s="23">
        <f t="shared" si="35"/>
        <v>28.31084597980394</v>
      </c>
      <c r="BI25" s="23">
        <v>44</v>
      </c>
      <c r="BK25" s="1">
        <f aca="true" t="shared" si="38" ref="BK25:BK36">AY$26*(($BI25/100)/AY$23)^(3+2*AY$25)</f>
        <v>3.3976270300272464</v>
      </c>
      <c r="BL25" s="1">
        <f t="shared" si="36"/>
        <v>0.995962841330262</v>
      </c>
      <c r="BO25" s="1">
        <f t="shared" si="32"/>
        <v>0.8241050910181864</v>
      </c>
      <c r="BP25" s="26">
        <f t="shared" si="34"/>
        <v>2.553845347583161</v>
      </c>
      <c r="BQ25" s="26">
        <f t="shared" si="34"/>
        <v>1.2066782344823672</v>
      </c>
      <c r="BR25" s="26">
        <f t="shared" si="34"/>
        <v>0.44105134367180593</v>
      </c>
      <c r="BS25" s="26">
        <f t="shared" si="34"/>
        <v>0.09380888325259186</v>
      </c>
      <c r="BU25" s="5">
        <v>0.25</v>
      </c>
      <c r="BV25" s="5">
        <v>0.14721245377321235</v>
      </c>
      <c r="BW25" s="5">
        <v>1.5604520099960508</v>
      </c>
      <c r="BX25" s="26">
        <v>9.644201028737783</v>
      </c>
      <c r="CA25" s="1">
        <f t="shared" si="33"/>
        <v>44</v>
      </c>
      <c r="CB25" s="23"/>
      <c r="CC25" s="23"/>
      <c r="CD25" s="23"/>
      <c r="CE25" s="23"/>
    </row>
    <row r="26" spans="2:83" ht="15">
      <c r="B26" s="1">
        <v>9</v>
      </c>
      <c r="C26" s="1" t="s">
        <v>128</v>
      </c>
      <c r="D26" s="1">
        <v>288</v>
      </c>
      <c r="F26" s="5">
        <v>0.08884722222222224</v>
      </c>
      <c r="G26" s="5">
        <v>0.3219131944444446</v>
      </c>
      <c r="H26" s="5">
        <v>4.056727638888888</v>
      </c>
      <c r="I26" s="5">
        <v>1</v>
      </c>
      <c r="J26" s="5">
        <v>0</v>
      </c>
      <c r="K26" s="5">
        <v>0</v>
      </c>
      <c r="L26" s="5"/>
      <c r="M26" s="5">
        <f t="shared" si="0"/>
        <v>0.20429487852731715</v>
      </c>
      <c r="N26" s="5">
        <f t="shared" si="1"/>
        <v>0.38274250870431764</v>
      </c>
      <c r="O26" s="5">
        <f t="shared" si="2"/>
        <v>0.5464316728648239</v>
      </c>
      <c r="P26" s="5">
        <f t="shared" si="3"/>
        <v>0.1784476301770005</v>
      </c>
      <c r="Q26" s="5">
        <f t="shared" si="4"/>
        <v>11.399879836592914</v>
      </c>
      <c r="R26" s="5">
        <f t="shared" si="5"/>
        <v>1.2019560669082168</v>
      </c>
      <c r="S26" s="5">
        <f t="shared" si="30"/>
        <v>0.5121589983518282</v>
      </c>
      <c r="T26" s="5">
        <f t="shared" si="6"/>
        <v>0</v>
      </c>
      <c r="U26" s="5">
        <f t="shared" si="7"/>
        <v>1.2019560669082168</v>
      </c>
      <c r="W26" s="5">
        <f t="shared" si="15"/>
        <v>0.19674989344501503</v>
      </c>
      <c r="X26" s="5">
        <f t="shared" si="8"/>
        <v>0.20429487852731715</v>
      </c>
      <c r="Y26" s="25">
        <f t="shared" si="16"/>
        <v>0.36392701001336275</v>
      </c>
      <c r="Z26" s="25">
        <f t="shared" si="9"/>
        <v>0.38274250870431764</v>
      </c>
      <c r="AA26" s="5">
        <f t="shared" si="17"/>
        <v>0.14444214224698154</v>
      </c>
      <c r="AB26" s="5">
        <f t="shared" si="10"/>
        <v>0.1293073447160618</v>
      </c>
      <c r="AC26" s="5">
        <f t="shared" si="18"/>
        <v>0.5120498534203795</v>
      </c>
      <c r="AD26" s="25">
        <f t="shared" si="19"/>
        <v>0.03438181944444444</v>
      </c>
      <c r="AE26" s="5">
        <f t="shared" si="20"/>
        <v>0.5464316728648239</v>
      </c>
      <c r="AF26" s="5">
        <f t="shared" si="11"/>
        <v>1.2019560669082168</v>
      </c>
      <c r="AG26" s="5">
        <f t="shared" si="21"/>
        <v>1.2019560669082168</v>
      </c>
      <c r="AH26" s="5">
        <f t="shared" si="12"/>
        <v>0.5464316728648239</v>
      </c>
      <c r="AI26" s="25">
        <f t="shared" si="22"/>
        <v>0</v>
      </c>
      <c r="AJ26" s="25">
        <f t="shared" si="23"/>
        <v>0.38274250870431764</v>
      </c>
      <c r="AK26" s="25">
        <f t="shared" si="24"/>
        <v>0.16368916416050622</v>
      </c>
      <c r="AL26" s="25">
        <f t="shared" si="25"/>
        <v>0.16448657722443336</v>
      </c>
      <c r="AM26" s="25">
        <f t="shared" si="26"/>
        <v>1</v>
      </c>
      <c r="AN26" s="26">
        <f t="shared" si="27"/>
        <v>11.399879836592914</v>
      </c>
      <c r="AO26" s="5">
        <f t="shared" si="28"/>
        <v>6.079523429048877</v>
      </c>
      <c r="AP26" s="25">
        <f t="shared" si="29"/>
        <v>0.09611373298446185</v>
      </c>
      <c r="AQ26" s="26">
        <f t="shared" si="13"/>
        <v>4.698449645034639</v>
      </c>
      <c r="AR26" s="26">
        <f t="shared" si="14"/>
        <v>3.9090334164842475</v>
      </c>
      <c r="AS26" s="5"/>
      <c r="AV26" s="1" t="s">
        <v>88</v>
      </c>
      <c r="AX26" s="26">
        <f>$AN30</f>
        <v>0.0945573831101665</v>
      </c>
      <c r="AY26" s="26">
        <f>$AN31</f>
        <v>15.54946932044418</v>
      </c>
      <c r="AZ26" s="26">
        <f>$AN32</f>
        <v>7.735977208659201</v>
      </c>
      <c r="BA26" s="26">
        <f>$AN33</f>
        <v>2.1032276635456717</v>
      </c>
      <c r="BB26" s="5"/>
      <c r="BD26" s="23">
        <v>42</v>
      </c>
      <c r="BE26" s="23"/>
      <c r="BF26" s="23"/>
      <c r="BG26" s="23">
        <f t="shared" si="37"/>
        <v>9.664637590534824</v>
      </c>
      <c r="BH26" s="23">
        <f t="shared" si="35"/>
        <v>50.17250716305853</v>
      </c>
      <c r="BI26" s="23">
        <v>42</v>
      </c>
      <c r="BJ26" s="1">
        <f aca="true" t="shared" si="39" ref="BJ26:BJ37">AX$26*(($BI26/100)/AX$23)^(3+2*AX$25)</f>
        <v>1.2786556378198501</v>
      </c>
      <c r="BK26" s="1">
        <f t="shared" si="38"/>
        <v>2.03047356904876</v>
      </c>
      <c r="BL26" s="1">
        <f t="shared" si="36"/>
        <v>0.4537859284183987</v>
      </c>
      <c r="BM26" s="1">
        <f aca="true" t="shared" si="40" ref="BM26:BM34">BA$26*(($BI26/100)/BA$23)^(3+2*BA$25)</f>
        <v>0.003225727728718422</v>
      </c>
      <c r="BO26" s="1">
        <f t="shared" si="32"/>
        <v>0.7866457686991779</v>
      </c>
      <c r="BP26" s="26">
        <f t="shared" si="34"/>
        <v>1.4749294430325441</v>
      </c>
      <c r="BQ26" s="26">
        <f t="shared" si="34"/>
        <v>0.6925969901644173</v>
      </c>
      <c r="BR26" s="26">
        <f t="shared" si="34"/>
        <v>0.25151937731289464</v>
      </c>
      <c r="BS26" s="26">
        <f t="shared" si="34"/>
        <v>0.05313635677957774</v>
      </c>
      <c r="BU26" s="5">
        <v>0.3</v>
      </c>
      <c r="BV26" s="5">
        <v>0.1816335215937623</v>
      </c>
      <c r="BW26" s="5">
        <v>1.6044294407449005</v>
      </c>
      <c r="BX26" s="26">
        <v>9.108910941907757</v>
      </c>
      <c r="CA26" s="1">
        <v>42</v>
      </c>
      <c r="CB26" s="23"/>
      <c r="CC26" s="23"/>
      <c r="CD26" s="23"/>
      <c r="CE26" s="23"/>
    </row>
    <row r="27" spans="2:83" ht="15">
      <c r="B27" s="1">
        <v>10</v>
      </c>
      <c r="C27" s="1" t="s">
        <v>129</v>
      </c>
      <c r="D27" s="1">
        <v>83</v>
      </c>
      <c r="F27" s="5">
        <v>0.0765542168674699</v>
      </c>
      <c r="G27" s="5">
        <v>0.46515662650602396</v>
      </c>
      <c r="H27" s="5">
        <v>3.5921513253012067</v>
      </c>
      <c r="I27" s="5">
        <v>1</v>
      </c>
      <c r="J27" s="5">
        <v>0</v>
      </c>
      <c r="K27" s="5">
        <v>0</v>
      </c>
      <c r="L27" s="5"/>
      <c r="M27" s="5">
        <f t="shared" si="0"/>
        <v>0.2756264487800571</v>
      </c>
      <c r="N27" s="5">
        <f t="shared" si="1"/>
        <v>0.41237295151276643</v>
      </c>
      <c r="O27" s="5">
        <f t="shared" si="2"/>
        <v>0.5426072804397564</v>
      </c>
      <c r="P27" s="5">
        <f t="shared" si="3"/>
        <v>0.13674650273270933</v>
      </c>
      <c r="Q27" s="5">
        <f t="shared" si="4"/>
        <v>5.286653798074722</v>
      </c>
      <c r="R27" s="5">
        <f t="shared" si="5"/>
        <v>1.2120907068346454</v>
      </c>
      <c r="S27" s="5">
        <f t="shared" si="30"/>
        <v>0.5112164670243489</v>
      </c>
      <c r="T27" s="5">
        <f t="shared" si="6"/>
        <v>0</v>
      </c>
      <c r="U27" s="5">
        <f t="shared" si="7"/>
        <v>1.2120907068346454</v>
      </c>
      <c r="W27" s="5">
        <f t="shared" si="15"/>
        <v>0.25932144629829573</v>
      </c>
      <c r="X27" s="5">
        <f t="shared" si="8"/>
        <v>0.2756264487800571</v>
      </c>
      <c r="Y27" s="25">
        <f t="shared" si="16"/>
        <v>0.3826349984793845</v>
      </c>
      <c r="Z27" s="25">
        <f t="shared" si="9"/>
        <v>0.41237295151276643</v>
      </c>
      <c r="AA27" s="5">
        <f t="shared" si="17"/>
        <v>0.12326411244690379</v>
      </c>
      <c r="AB27" s="5">
        <f t="shared" si="10"/>
        <v>0.0946600879631346</v>
      </c>
      <c r="AC27" s="5">
        <f t="shared" si="18"/>
        <v>0.5070330394759011</v>
      </c>
      <c r="AD27" s="25">
        <f t="shared" si="19"/>
        <v>0.03557424096385542</v>
      </c>
      <c r="AE27" s="5">
        <f t="shared" si="20"/>
        <v>0.5426072804397565</v>
      </c>
      <c r="AF27" s="5">
        <f t="shared" si="11"/>
        <v>1.2120907068346454</v>
      </c>
      <c r="AG27" s="5">
        <f t="shared" si="21"/>
        <v>1.2120907068346454</v>
      </c>
      <c r="AH27" s="5">
        <f t="shared" si="12"/>
        <v>0.5426072804397564</v>
      </c>
      <c r="AI27" s="25">
        <f t="shared" si="22"/>
        <v>0</v>
      </c>
      <c r="AJ27" s="25">
        <f t="shared" si="23"/>
        <v>0.41237295151276643</v>
      </c>
      <c r="AK27" s="25">
        <f t="shared" si="24"/>
        <v>0.13023432892698994</v>
      </c>
      <c r="AL27" s="25">
        <f t="shared" si="25"/>
        <v>0.10555723678356999</v>
      </c>
      <c r="AM27" s="25">
        <f t="shared" si="26"/>
        <v>1</v>
      </c>
      <c r="AN27" s="26">
        <f t="shared" si="27"/>
        <v>5.286653798074722</v>
      </c>
      <c r="AO27" s="5">
        <f t="shared" si="28"/>
        <v>9.473533321551008</v>
      </c>
      <c r="AP27" s="25">
        <f t="shared" si="29"/>
        <v>0.007480877744314156</v>
      </c>
      <c r="AQ27" s="26">
        <f t="shared" si="13"/>
        <v>3.544886871669622</v>
      </c>
      <c r="AR27" s="26">
        <f t="shared" si="14"/>
        <v>2.6956391138296674</v>
      </c>
      <c r="AS27" s="5"/>
      <c r="AV27" s="1" t="s">
        <v>89</v>
      </c>
      <c r="AX27" s="26">
        <f>$AR30</f>
        <v>30.529778368757942</v>
      </c>
      <c r="AY27" s="26">
        <f>$AR31</f>
        <v>6.66104048182688</v>
      </c>
      <c r="AZ27" s="26">
        <f>$AR32</f>
        <v>4.051320174060502</v>
      </c>
      <c r="BA27" s="26">
        <f>$AR33</f>
        <v>2.682627442966322</v>
      </c>
      <c r="BB27" s="5"/>
      <c r="BD27" s="23">
        <f>BD26-2</f>
        <v>40</v>
      </c>
      <c r="BE27" s="23"/>
      <c r="BF27" s="23">
        <f aca="true" t="shared" si="41" ref="BF27:BF43">$AY$24*(BD27/100)^(-$AY$25)</f>
        <v>15.447162600450485</v>
      </c>
      <c r="BG27" s="23">
        <f t="shared" si="37"/>
        <v>13.56524194379315</v>
      </c>
      <c r="BH27" s="23">
        <f t="shared" si="35"/>
        <v>91.43364677512905</v>
      </c>
      <c r="BI27" s="23">
        <v>40</v>
      </c>
      <c r="BJ27" s="24">
        <f t="shared" si="39"/>
        <v>0.8916288348113184</v>
      </c>
      <c r="BK27" s="24">
        <f t="shared" si="38"/>
        <v>1.1833371244593118</v>
      </c>
      <c r="BL27" s="24">
        <f t="shared" si="36"/>
        <v>0.19897530808751615</v>
      </c>
      <c r="BM27" s="24">
        <f t="shared" si="40"/>
        <v>0.0008390335636848468</v>
      </c>
      <c r="BO27" s="1">
        <f t="shared" si="32"/>
        <v>0.7491864463801694</v>
      </c>
      <c r="BP27" s="26">
        <f t="shared" si="34"/>
        <v>0.8293025130489937</v>
      </c>
      <c r="BQ27" s="26">
        <f t="shared" si="34"/>
        <v>0.3869043886889211</v>
      </c>
      <c r="BR27" s="26">
        <f t="shared" si="34"/>
        <v>0.13955670695577072</v>
      </c>
      <c r="BS27" s="26">
        <f t="shared" si="34"/>
        <v>0.029274760146012425</v>
      </c>
      <c r="BU27" s="5">
        <v>0.35</v>
      </c>
      <c r="BV27" s="5">
        <v>0.21805099627413727</v>
      </c>
      <c r="BW27" s="5">
        <v>1.650957543218468</v>
      </c>
      <c r="BX27" s="26">
        <v>8.560661524336686</v>
      </c>
      <c r="CA27" s="1">
        <f>CA26-2</f>
        <v>40</v>
      </c>
      <c r="CB27" s="23">
        <f aca="true" t="shared" si="42" ref="CB27:CB43">$AX$24*(CA27/100)^(-$AX$25)+$AX$23/($BD27/100)*36*$AX$29</f>
        <v>14.502004662177464</v>
      </c>
      <c r="CC27" s="23">
        <f aca="true" t="shared" si="43" ref="CC27:CC43">$AY$24*(CA27/100)^(-$AY$25)+$AY$23/($BD27/100)*36*$AY$29</f>
        <v>15.447162600450485</v>
      </c>
      <c r="CD27" s="23">
        <f aca="true" t="shared" si="44" ref="CD27:CD43">$AZ$24*(CA27/100)^(-$AZ$25)+$AZ$23/($BD27/100)*36*$AZ$29</f>
        <v>13.56524194379315</v>
      </c>
      <c r="CE27" s="23">
        <f aca="true" t="shared" si="45" ref="CE27:CE42">$BA$24*(CA27/100)^(-$BA$25)+$BA$23/($BD27/100)*36*$BA$29</f>
        <v>91.43364677512905</v>
      </c>
    </row>
    <row r="28" spans="2:83" ht="15">
      <c r="B28" s="1">
        <v>11</v>
      </c>
      <c r="C28" s="1" t="s">
        <v>130</v>
      </c>
      <c r="D28" s="1">
        <v>140</v>
      </c>
      <c r="F28" s="5">
        <v>0.12736428571428574</v>
      </c>
      <c r="G28" s="5">
        <v>0.545557142857143</v>
      </c>
      <c r="H28" s="5">
        <v>2.88</v>
      </c>
      <c r="I28" s="5">
        <v>1</v>
      </c>
      <c r="J28" s="5">
        <v>0</v>
      </c>
      <c r="K28" s="5">
        <v>0</v>
      </c>
      <c r="L28" s="5"/>
      <c r="M28" s="5">
        <f t="shared" si="0"/>
        <v>0.31862892619568156</v>
      </c>
      <c r="N28" s="5">
        <f t="shared" si="1"/>
        <v>0.43455169849824726</v>
      </c>
      <c r="O28" s="5">
        <f t="shared" si="2"/>
        <v>0.5311424904565721</v>
      </c>
      <c r="P28" s="5">
        <f t="shared" si="3"/>
        <v>0.1159227723025657</v>
      </c>
      <c r="Q28" s="5">
        <f t="shared" si="4"/>
        <v>2.1032276635456717</v>
      </c>
      <c r="R28" s="5">
        <f t="shared" si="5"/>
        <v>1.2424724002900838</v>
      </c>
      <c r="S28" s="5">
        <f t="shared" si="30"/>
        <v>0.5078294276570711</v>
      </c>
      <c r="T28" s="5">
        <f t="shared" si="6"/>
        <v>0</v>
      </c>
      <c r="U28" s="5">
        <f t="shared" si="7"/>
        <v>1.2424724002900838</v>
      </c>
      <c r="W28" s="5">
        <f t="shared" si="15"/>
        <v>0.29704291771551017</v>
      </c>
      <c r="X28" s="5">
        <f t="shared" si="8"/>
        <v>0.31862892619568156</v>
      </c>
      <c r="Y28" s="25">
        <f t="shared" si="16"/>
        <v>0.39628053068040814</v>
      </c>
      <c r="Z28" s="25">
        <f t="shared" si="9"/>
        <v>0.43455169849824726</v>
      </c>
      <c r="AA28" s="5">
        <f t="shared" si="17"/>
        <v>0.10571218072897959</v>
      </c>
      <c r="AB28" s="5">
        <f t="shared" si="10"/>
        <v>0.06594512767261061</v>
      </c>
      <c r="AC28" s="5">
        <f t="shared" si="18"/>
        <v>0.5004968261708579</v>
      </c>
      <c r="AD28" s="25">
        <f t="shared" si="19"/>
        <v>0.03064566428571428</v>
      </c>
      <c r="AE28" s="5">
        <f t="shared" si="20"/>
        <v>0.5311424904565721</v>
      </c>
      <c r="AF28" s="5">
        <f t="shared" si="11"/>
        <v>1.2424724002900838</v>
      </c>
      <c r="AG28" s="5">
        <f t="shared" si="21"/>
        <v>1.2424724002900838</v>
      </c>
      <c r="AH28" s="5">
        <f t="shared" si="12"/>
        <v>0.5311424904565721</v>
      </c>
      <c r="AI28" s="25">
        <f t="shared" si="22"/>
        <v>0</v>
      </c>
      <c r="AJ28" s="25">
        <f t="shared" si="23"/>
        <v>0.43455169849824726</v>
      </c>
      <c r="AK28" s="25">
        <f t="shared" si="24"/>
        <v>0.09659079195832487</v>
      </c>
      <c r="AL28" s="25">
        <f t="shared" si="25"/>
        <v>0.0812971137101253</v>
      </c>
      <c r="AM28" s="25">
        <f t="shared" si="26"/>
        <v>1</v>
      </c>
      <c r="AN28" s="26">
        <f t="shared" si="27"/>
        <v>2.1032276635456717</v>
      </c>
      <c r="AO28" s="5">
        <f t="shared" si="28"/>
        <v>12.300559692261906</v>
      </c>
      <c r="AP28" s="25">
        <f t="shared" si="29"/>
        <v>0.0011647191365648218</v>
      </c>
      <c r="AQ28" s="26">
        <f t="shared" si="13"/>
        <v>3.5322362798554465</v>
      </c>
      <c r="AR28" s="26">
        <f t="shared" si="14"/>
        <v>2.682627442966322</v>
      </c>
      <c r="AS28" s="5"/>
      <c r="AU28" s="5"/>
      <c r="AV28" s="5" t="s">
        <v>90</v>
      </c>
      <c r="AW28" s="5"/>
      <c r="AX28" s="5">
        <f>AX21-AX22</f>
        <v>0.22669867938508803</v>
      </c>
      <c r="AY28" s="5">
        <f>AY21-AY22</f>
        <v>0.20274799359641787</v>
      </c>
      <c r="AZ28" s="5">
        <f>AZ21-AZ22</f>
        <v>0.1487474897071879</v>
      </c>
      <c r="BA28" s="5">
        <f>BA21-BA22</f>
        <v>0.1159227723025657</v>
      </c>
      <c r="BB28" s="5"/>
      <c r="BD28" s="23">
        <f>BD27-2</f>
        <v>38</v>
      </c>
      <c r="BE28" s="23">
        <f aca="true" t="shared" si="46" ref="BE28:BE44">$AX$24*(BD28/100)^(-$AX$25)</f>
        <v>16.229850331793806</v>
      </c>
      <c r="BF28" s="23">
        <f t="shared" si="41"/>
        <v>18.997377754084948</v>
      </c>
      <c r="BG28" s="23">
        <f t="shared" si="37"/>
        <v>19.374192735367856</v>
      </c>
      <c r="BH28" s="23">
        <f t="shared" si="35"/>
        <v>171.83758660439585</v>
      </c>
      <c r="BI28" s="23">
        <v>38</v>
      </c>
      <c r="BJ28" s="24">
        <f t="shared" si="39"/>
        <v>0.6103542483787457</v>
      </c>
      <c r="BK28" s="24">
        <f t="shared" si="38"/>
        <v>0.6707943942139084</v>
      </c>
      <c r="BL28" s="24">
        <f t="shared" si="36"/>
        <v>0.08363303515362434</v>
      </c>
      <c r="BM28" s="24">
        <f t="shared" si="40"/>
        <v>0.00020366945641792504</v>
      </c>
      <c r="BO28" s="1">
        <f t="shared" si="32"/>
        <v>0.7117271240611609</v>
      </c>
      <c r="BP28" s="26">
        <f t="shared" si="34"/>
        <v>0.4527158818116783</v>
      </c>
      <c r="BQ28" s="26">
        <f t="shared" si="34"/>
        <v>0.20977470317076707</v>
      </c>
      <c r="BR28" s="26">
        <f t="shared" si="34"/>
        <v>0.07512860966968551</v>
      </c>
      <c r="BS28" s="26">
        <f t="shared" si="34"/>
        <v>0.015642724394539453</v>
      </c>
      <c r="BU28" s="5">
        <v>0.4</v>
      </c>
      <c r="BV28" s="5">
        <v>0.2566437511884162</v>
      </c>
      <c r="BW28" s="5">
        <v>1.700264851623257</v>
      </c>
      <c r="BX28" s="26">
        <v>7.998976392864062</v>
      </c>
      <c r="CA28" s="1">
        <f>CA27-2</f>
        <v>38</v>
      </c>
      <c r="CB28" s="23">
        <f t="shared" si="42"/>
        <v>16.229850331793806</v>
      </c>
      <c r="CC28" s="23">
        <f t="shared" si="43"/>
        <v>18.997377754084948</v>
      </c>
      <c r="CD28" s="23">
        <f t="shared" si="44"/>
        <v>19.374192735367856</v>
      </c>
      <c r="CE28" s="23">
        <f t="shared" si="45"/>
        <v>171.83758660439585</v>
      </c>
    </row>
    <row r="29" spans="2:83" ht="15">
      <c r="B29" s="10" t="s">
        <v>92</v>
      </c>
      <c r="I29" s="5"/>
      <c r="J29" s="5"/>
      <c r="K29" s="5"/>
      <c r="M29" s="5"/>
      <c r="N29" s="5"/>
      <c r="O29" s="5"/>
      <c r="P29" s="5"/>
      <c r="Q29" s="5"/>
      <c r="R29" s="5"/>
      <c r="S29" s="5"/>
      <c r="T29" s="5"/>
      <c r="U29" s="5"/>
      <c r="W29" s="5"/>
      <c r="X29" s="5"/>
      <c r="Y29" s="25"/>
      <c r="Z29" s="25"/>
      <c r="AA29" s="5"/>
      <c r="AB29" s="5"/>
      <c r="AC29" s="5"/>
      <c r="AD29" s="25"/>
      <c r="AE29" s="5"/>
      <c r="AF29" s="5"/>
      <c r="AG29" s="5"/>
      <c r="AH29" s="5"/>
      <c r="AI29" s="25"/>
      <c r="AJ29" s="25"/>
      <c r="AK29" s="25"/>
      <c r="AL29" s="25"/>
      <c r="AM29" s="25"/>
      <c r="AN29" s="26"/>
      <c r="AO29" s="5"/>
      <c r="AP29" s="25"/>
      <c r="AQ29" s="26"/>
      <c r="AR29" s="26"/>
      <c r="AS29" s="5"/>
      <c r="AV29" s="1" t="s">
        <v>91</v>
      </c>
      <c r="AX29" s="5">
        <f>K30</f>
        <v>0</v>
      </c>
      <c r="AY29" s="5">
        <f>K31</f>
        <v>0</v>
      </c>
      <c r="AZ29" s="5">
        <f>K32</f>
        <v>0</v>
      </c>
      <c r="BA29" s="5">
        <f>K33</f>
        <v>0</v>
      </c>
      <c r="BB29" s="5"/>
      <c r="BD29" s="23">
        <f>BD28-2</f>
        <v>36</v>
      </c>
      <c r="BE29" s="23">
        <f t="shared" si="46"/>
        <v>18.274468559432222</v>
      </c>
      <c r="BF29" s="23">
        <f t="shared" si="41"/>
        <v>23.626391061366206</v>
      </c>
      <c r="BG29" s="23">
        <f t="shared" si="37"/>
        <v>28.209215945160793</v>
      </c>
      <c r="BH29" s="23">
        <f t="shared" si="35"/>
        <v>334.15563229948543</v>
      </c>
      <c r="BI29" s="23">
        <v>36</v>
      </c>
      <c r="BJ29" s="24">
        <f t="shared" si="39"/>
        <v>0.409334360488617</v>
      </c>
      <c r="BK29" s="24">
        <f t="shared" si="38"/>
        <v>0.3687556455610632</v>
      </c>
      <c r="BL29" s="24">
        <f t="shared" si="36"/>
        <v>0.03354283542810304</v>
      </c>
      <c r="BM29" s="24">
        <f t="shared" si="40"/>
        <v>4.5795349147787075E-05</v>
      </c>
      <c r="BO29" s="1">
        <f t="shared" si="32"/>
        <v>0.6742678017421524</v>
      </c>
      <c r="BP29" s="26">
        <f t="shared" si="34"/>
        <v>0.2391782097609618</v>
      </c>
      <c r="BQ29" s="26">
        <f t="shared" si="34"/>
        <v>0.11003363297820933</v>
      </c>
      <c r="BR29" s="26">
        <f t="shared" si="34"/>
        <v>0.03911249326845819</v>
      </c>
      <c r="BS29" s="26">
        <f t="shared" si="34"/>
        <v>0.008080011385348466</v>
      </c>
      <c r="BU29" s="5">
        <v>0.45</v>
      </c>
      <c r="BV29" s="5">
        <v>0.2976126864039706</v>
      </c>
      <c r="BW29" s="5">
        <v>1.7526080421567158</v>
      </c>
      <c r="BX29" s="26">
        <v>7.423355525641194</v>
      </c>
      <c r="CA29" s="1">
        <f>CA28-2</f>
        <v>36</v>
      </c>
      <c r="CB29" s="23">
        <f t="shared" si="42"/>
        <v>18.274468559432222</v>
      </c>
      <c r="CC29" s="23">
        <f t="shared" si="43"/>
        <v>23.626391061366206</v>
      </c>
      <c r="CD29" s="23">
        <f t="shared" si="44"/>
        <v>28.209215945160793</v>
      </c>
      <c r="CE29" s="23">
        <f t="shared" si="45"/>
        <v>334.15563229948543</v>
      </c>
    </row>
    <row r="30" spans="2:83" ht="15">
      <c r="B30" s="1">
        <v>3</v>
      </c>
      <c r="F30" s="5">
        <v>0.05</v>
      </c>
      <c r="G30" s="5">
        <v>0.05</v>
      </c>
      <c r="H30" s="5">
        <v>1</v>
      </c>
      <c r="I30" s="5">
        <v>1.2</v>
      </c>
      <c r="J30" s="5">
        <v>0</v>
      </c>
      <c r="K30" s="5">
        <v>0</v>
      </c>
      <c r="L30" s="5"/>
      <c r="M30" s="5">
        <f>X30</f>
        <v>0.0483088</v>
      </c>
      <c r="N30" s="5">
        <f>AJ30</f>
        <v>0.275007479385088</v>
      </c>
      <c r="O30" s="5">
        <f>AH30</f>
        <v>0.29524175313664003</v>
      </c>
      <c r="P30" s="5">
        <f>(N30-M30)*(1-T30)</f>
        <v>0.22669867938508803</v>
      </c>
      <c r="Q30" s="5">
        <f>AN30</f>
        <v>0.0945573831101665</v>
      </c>
      <c r="R30" s="5">
        <f>AG30</f>
        <v>1.8676093541879037</v>
      </c>
      <c r="S30" s="5">
        <f>N30-(S$16-33)*(O30-N30)/(33-AR30)</f>
        <v>0.46340688873350877</v>
      </c>
      <c r="T30" s="5">
        <f>((R30/2.65)*J30)/(1-J30*(1-R30/2.65))</f>
        <v>0</v>
      </c>
      <c r="U30" s="5">
        <f>T30*2.65+(1-T30)*R30</f>
        <v>1.8676093541879037</v>
      </c>
      <c r="W30" s="5">
        <f t="shared" si="15"/>
        <v>0.05992</v>
      </c>
      <c r="X30" s="5">
        <f t="shared" si="8"/>
        <v>0.0483088</v>
      </c>
      <c r="Y30" s="25">
        <f t="shared" si="16"/>
        <v>0.30728</v>
      </c>
      <c r="Z30" s="25">
        <f t="shared" si="9"/>
        <v>0.2984994209472</v>
      </c>
      <c r="AA30" s="5">
        <f t="shared" si="17"/>
        <v>0.11189</v>
      </c>
      <c r="AB30" s="5">
        <f t="shared" si="10"/>
        <v>0.07605204000000002</v>
      </c>
      <c r="AC30" s="5">
        <f t="shared" si="18"/>
        <v>0.37455146094720004</v>
      </c>
      <c r="AD30" s="25">
        <f t="shared" si="19"/>
        <v>0.038149999999999996</v>
      </c>
      <c r="AE30" s="5">
        <f t="shared" si="20"/>
        <v>0.41270146094720006</v>
      </c>
      <c r="AF30" s="5">
        <f t="shared" si="11"/>
        <v>1.5563411284899198</v>
      </c>
      <c r="AG30" s="5">
        <f t="shared" si="21"/>
        <v>1.8676093541879037</v>
      </c>
      <c r="AH30" s="5">
        <f t="shared" si="12"/>
        <v>0.29524175313664003</v>
      </c>
      <c r="AI30" s="25">
        <f t="shared" si="22"/>
        <v>-0.11745970781056003</v>
      </c>
      <c r="AJ30" s="25">
        <f t="shared" si="23"/>
        <v>0.275007479385088</v>
      </c>
      <c r="AK30" s="25">
        <f t="shared" si="24"/>
        <v>0.020234273751552012</v>
      </c>
      <c r="AL30" s="25">
        <f t="shared" si="25"/>
        <v>0.45567603218781183</v>
      </c>
      <c r="AM30" s="25">
        <f t="shared" si="26"/>
        <v>1</v>
      </c>
      <c r="AN30" s="26">
        <f t="shared" si="27"/>
        <v>0.0945573831101665</v>
      </c>
      <c r="AO30" s="5">
        <f t="shared" si="28"/>
        <v>2.194541580777808</v>
      </c>
      <c r="AP30" s="25">
        <f t="shared" si="29"/>
        <v>1.941476529475999</v>
      </c>
      <c r="AQ30" s="26">
        <f t="shared" si="13"/>
        <v>23.1374656517155</v>
      </c>
      <c r="AR30" s="26">
        <f t="shared" si="14"/>
        <v>30.529778368757942</v>
      </c>
      <c r="AS30" s="5"/>
      <c r="AU30" s="5"/>
      <c r="AV30" s="1" t="s">
        <v>93</v>
      </c>
      <c r="AW30" s="5"/>
      <c r="AX30" s="5">
        <f>(1-AX23)*2.65</f>
        <v>1.867609354187904</v>
      </c>
      <c r="AY30" s="5">
        <f>(1-AY23)*2.65</f>
        <v>1.312211586644139</v>
      </c>
      <c r="AZ30" s="5">
        <f>(1-AZ23)*2.65</f>
        <v>1.3336107378659472</v>
      </c>
      <c r="BA30" s="5">
        <f>(1-BA23)*2.65</f>
        <v>1.2424724002900838</v>
      </c>
      <c r="BB30" s="5"/>
      <c r="BD30" s="23">
        <v>34</v>
      </c>
      <c r="BE30" s="23">
        <f t="shared" si="46"/>
        <v>20.716726985240378</v>
      </c>
      <c r="BF30" s="23">
        <f t="shared" si="41"/>
        <v>29.751963103559824</v>
      </c>
      <c r="BG30" s="23">
        <f t="shared" si="37"/>
        <v>41.96499801349002</v>
      </c>
      <c r="BH30" s="23">
        <f t="shared" si="35"/>
        <v>674.9828821482191</v>
      </c>
      <c r="BI30" s="23">
        <v>34</v>
      </c>
      <c r="BJ30" s="24">
        <f t="shared" si="39"/>
        <v>0.2683210083623947</v>
      </c>
      <c r="BK30" s="24">
        <f t="shared" si="38"/>
        <v>0.19589865283684277</v>
      </c>
      <c r="BL30" s="24">
        <f t="shared" si="36"/>
        <v>0.012768404638932791</v>
      </c>
      <c r="BM30" s="24">
        <f t="shared" si="40"/>
        <v>9.455024891601323E-06</v>
      </c>
      <c r="BO30" s="1">
        <f t="shared" si="32"/>
        <v>0.636808479423144</v>
      </c>
      <c r="BP30" s="26">
        <f t="shared" si="34"/>
        <v>0.12183570482790193</v>
      </c>
      <c r="BQ30" s="26">
        <f t="shared" si="34"/>
        <v>0.05562580322813337</v>
      </c>
      <c r="BR30" s="26">
        <f t="shared" si="34"/>
        <v>0.019616324959359152</v>
      </c>
      <c r="BS30" s="26">
        <f t="shared" si="34"/>
        <v>0.0040189125403382545</v>
      </c>
      <c r="BU30" s="5">
        <v>0.5</v>
      </c>
      <c r="BV30" s="5">
        <v>0.3411842268677897</v>
      </c>
      <c r="BW30" s="5">
        <v>1.8082764023992852</v>
      </c>
      <c r="BX30" s="26">
        <v>6.833273777489683</v>
      </c>
      <c r="CA30" s="1">
        <v>34</v>
      </c>
      <c r="CB30" s="23">
        <f t="shared" si="42"/>
        <v>20.716726985240378</v>
      </c>
      <c r="CC30" s="23">
        <f t="shared" si="43"/>
        <v>29.751963103559824</v>
      </c>
      <c r="CD30" s="23">
        <f t="shared" si="44"/>
        <v>41.96499801349002</v>
      </c>
      <c r="CE30" s="23">
        <f t="shared" si="45"/>
        <v>674.9828821482191</v>
      </c>
    </row>
    <row r="31" spans="2:83" ht="15">
      <c r="B31" s="1">
        <v>5</v>
      </c>
      <c r="F31" s="5">
        <v>0.15038994565217392</v>
      </c>
      <c r="G31" s="5">
        <v>0.1801073369565219</v>
      </c>
      <c r="H31" s="5">
        <v>3.045249239130434</v>
      </c>
      <c r="I31" s="5">
        <v>1</v>
      </c>
      <c r="J31" s="5">
        <v>0</v>
      </c>
      <c r="K31" s="5">
        <v>0</v>
      </c>
      <c r="M31" s="5">
        <f>X31</f>
        <v>0.1286286654128268</v>
      </c>
      <c r="N31" s="5">
        <f>AJ31</f>
        <v>0.3313766590092447</v>
      </c>
      <c r="O31" s="5">
        <f>AH31</f>
        <v>0.5048258163607022</v>
      </c>
      <c r="P31" s="5">
        <f>(N31-M31)*(1-T31)</f>
        <v>0.20274799359641787</v>
      </c>
      <c r="Q31" s="5">
        <f>AN31</f>
        <v>15.54946932044418</v>
      </c>
      <c r="R31" s="5">
        <f>AG31</f>
        <v>1.3122115866441388</v>
      </c>
      <c r="S31" s="5">
        <f>N31-(S$16-33)*(O31-N31)/(33-AR31)</f>
        <v>0.4828378667433999</v>
      </c>
      <c r="T31" s="5">
        <f>((R31/2.65)*J31)/(1-J31*(1-R31/2.65))</f>
        <v>0</v>
      </c>
      <c r="U31" s="5">
        <f>T31*2.65+(1-T31)*R31</f>
        <v>1.3122115866441388</v>
      </c>
      <c r="W31" s="5">
        <f t="shared" si="15"/>
        <v>0.13037602229195333</v>
      </c>
      <c r="X31" s="5">
        <f t="shared" si="8"/>
        <v>0.1286286654128268</v>
      </c>
      <c r="Y31" s="25">
        <f t="shared" si="16"/>
        <v>0.33005293079394304</v>
      </c>
      <c r="Z31" s="25">
        <f t="shared" si="9"/>
        <v>0.3313766590092447</v>
      </c>
      <c r="AA31" s="5">
        <f t="shared" si="17"/>
        <v>0.15405683501205292</v>
      </c>
      <c r="AB31" s="5">
        <f t="shared" si="10"/>
        <v>0.14503698207971857</v>
      </c>
      <c r="AC31" s="5">
        <f t="shared" si="18"/>
        <v>0.4764136410889632</v>
      </c>
      <c r="AD31" s="25">
        <f t="shared" si="19"/>
        <v>0.028412175271739126</v>
      </c>
      <c r="AE31" s="5">
        <f t="shared" si="20"/>
        <v>0.5048258163607023</v>
      </c>
      <c r="AF31" s="5">
        <f t="shared" si="11"/>
        <v>1.3122115866441388</v>
      </c>
      <c r="AG31" s="5">
        <f t="shared" si="21"/>
        <v>1.3122115866441388</v>
      </c>
      <c r="AH31" s="5">
        <f t="shared" si="12"/>
        <v>0.5048258163607022</v>
      </c>
      <c r="AI31" s="25">
        <f t="shared" si="22"/>
        <v>0</v>
      </c>
      <c r="AJ31" s="25">
        <f t="shared" si="23"/>
        <v>0.3313766590092447</v>
      </c>
      <c r="AK31" s="25">
        <f t="shared" si="24"/>
        <v>0.17344915735145755</v>
      </c>
      <c r="AL31" s="25">
        <f t="shared" si="25"/>
        <v>0.24794267308849663</v>
      </c>
      <c r="AM31" s="25">
        <f t="shared" si="26"/>
        <v>1</v>
      </c>
      <c r="AN31" s="26">
        <f t="shared" si="27"/>
        <v>15.54946932044418</v>
      </c>
      <c r="AO31" s="5">
        <f t="shared" si="28"/>
        <v>4.033190364302785</v>
      </c>
      <c r="AP31" s="25">
        <f t="shared" si="29"/>
        <v>0.3836020412560078</v>
      </c>
      <c r="AQ31" s="26">
        <f t="shared" si="13"/>
        <v>7.147050560821015</v>
      </c>
      <c r="AR31" s="26">
        <f t="shared" si="14"/>
        <v>6.66104048182688</v>
      </c>
      <c r="AS31" s="5"/>
      <c r="AV31" s="1" t="s">
        <v>94</v>
      </c>
      <c r="AX31" s="5">
        <f>AX30/2.65</f>
        <v>0.70475824686336</v>
      </c>
      <c r="AY31" s="5">
        <f>AY30/2.65</f>
        <v>0.49517418363929777</v>
      </c>
      <c r="AZ31" s="5">
        <f>AZ30/2.65</f>
        <v>0.5032493350437537</v>
      </c>
      <c r="BA31" s="5">
        <f>BA30/2.65</f>
        <v>0.46885750954342786</v>
      </c>
      <c r="BB31" s="5"/>
      <c r="BD31" s="23">
        <v>32</v>
      </c>
      <c r="BE31" s="23">
        <f t="shared" si="46"/>
        <v>23.664704921007893</v>
      </c>
      <c r="BF31" s="23">
        <f t="shared" si="41"/>
        <v>37.99314531617837</v>
      </c>
      <c r="BG31" s="23">
        <f t="shared" si="37"/>
        <v>63.95049859967763</v>
      </c>
      <c r="BH31" s="23">
        <f t="shared" si="35"/>
        <v>1422.8314017845553</v>
      </c>
      <c r="BI31" s="23">
        <v>32</v>
      </c>
      <c r="BJ31" s="24">
        <f t="shared" si="39"/>
        <v>0.1714383426498765</v>
      </c>
      <c r="BK31" s="24">
        <f t="shared" si="38"/>
        <v>0.10015332898891266</v>
      </c>
      <c r="BL31" s="24">
        <f t="shared" si="36"/>
        <v>0.004583912987214286</v>
      </c>
      <c r="BM31" s="24">
        <f t="shared" si="40"/>
        <v>1.7740035949463395E-06</v>
      </c>
      <c r="BO31" s="1">
        <f t="shared" si="32"/>
        <v>0.5993491571041355</v>
      </c>
      <c r="BP31" s="26">
        <f t="shared" si="34"/>
        <v>0.05957480332055156</v>
      </c>
      <c r="BQ31" s="26">
        <f t="shared" si="34"/>
        <v>0.02698124329674214</v>
      </c>
      <c r="BR31" s="26">
        <f t="shared" si="34"/>
        <v>0.009435077610803443</v>
      </c>
      <c r="BS31" s="26">
        <f t="shared" si="34"/>
        <v>0.0019160735343759356</v>
      </c>
      <c r="BU31" s="5">
        <v>0.55</v>
      </c>
      <c r="BV31" s="5">
        <v>0.3876145091439608</v>
      </c>
      <c r="BW31" s="5">
        <v>1.8675971804209017</v>
      </c>
      <c r="BX31" s="26">
        <v>6.228179281944016</v>
      </c>
      <c r="CA31" s="1">
        <v>32</v>
      </c>
      <c r="CB31" s="23">
        <f t="shared" si="42"/>
        <v>23.664704921007893</v>
      </c>
      <c r="CC31" s="23">
        <f t="shared" si="43"/>
        <v>37.99314531617837</v>
      </c>
      <c r="CD31" s="23">
        <f t="shared" si="44"/>
        <v>63.95049859967763</v>
      </c>
      <c r="CE31" s="23">
        <f t="shared" si="45"/>
        <v>1422.8314017845553</v>
      </c>
    </row>
    <row r="32" spans="2:83" ht="15">
      <c r="B32" s="1">
        <v>8</v>
      </c>
      <c r="F32" s="5">
        <v>0.2911769230769231</v>
      </c>
      <c r="G32" s="5">
        <v>0.3157692307692308</v>
      </c>
      <c r="H32" s="5">
        <v>3.5097987692307693</v>
      </c>
      <c r="I32" s="5">
        <v>1</v>
      </c>
      <c r="J32" s="5">
        <v>0</v>
      </c>
      <c r="K32" s="5">
        <v>0</v>
      </c>
      <c r="M32" s="5">
        <f>X32</f>
        <v>0.20321717607297188</v>
      </c>
      <c r="N32" s="5">
        <f>AJ32</f>
        <v>0.3519646657801598</v>
      </c>
      <c r="O32" s="5">
        <f>AH32</f>
        <v>0.4967506649562463</v>
      </c>
      <c r="P32" s="5">
        <f>(N32-M32)*(1-T32)</f>
        <v>0.1487474897071879</v>
      </c>
      <c r="Q32" s="5">
        <f>AN32</f>
        <v>7.735977208659201</v>
      </c>
      <c r="R32" s="5">
        <f>AG32</f>
        <v>1.3336107378659472</v>
      </c>
      <c r="S32" s="5">
        <f>N32-(S$16-33)*(O32-N32)/(33-AR32)</f>
        <v>0.4669985119200473</v>
      </c>
      <c r="T32" s="5">
        <f>((R32/2.65)*J32)/(1-J32*(1-R32/2.65))</f>
        <v>0</v>
      </c>
      <c r="U32" s="5">
        <f>T32*2.65+(1-T32)*R32</f>
        <v>1.3336107378659472</v>
      </c>
      <c r="W32" s="5">
        <f t="shared" si="15"/>
        <v>0.1958045404148876</v>
      </c>
      <c r="X32" s="5">
        <f t="shared" si="8"/>
        <v>0.20321717607297188</v>
      </c>
      <c r="Y32" s="25">
        <f t="shared" si="16"/>
        <v>0.34386448913781775</v>
      </c>
      <c r="Z32" s="25">
        <f t="shared" si="9"/>
        <v>0.3519646657801598</v>
      </c>
      <c r="AA32" s="5">
        <f t="shared" si="17"/>
        <v>0.14488396131696096</v>
      </c>
      <c r="AB32" s="5">
        <f t="shared" si="10"/>
        <v>0.13003016071454815</v>
      </c>
      <c r="AC32" s="5">
        <f t="shared" si="18"/>
        <v>0.48199482649470793</v>
      </c>
      <c r="AD32" s="25">
        <f t="shared" si="19"/>
        <v>0.014755838461538454</v>
      </c>
      <c r="AE32" s="5">
        <f t="shared" si="20"/>
        <v>0.49675066495624637</v>
      </c>
      <c r="AF32" s="5">
        <f t="shared" si="11"/>
        <v>1.3336107378659472</v>
      </c>
      <c r="AG32" s="5">
        <f t="shared" si="21"/>
        <v>1.3336107378659472</v>
      </c>
      <c r="AH32" s="5">
        <f t="shared" si="12"/>
        <v>0.4967506649562463</v>
      </c>
      <c r="AI32" s="25">
        <f t="shared" si="22"/>
        <v>0</v>
      </c>
      <c r="AJ32" s="25">
        <f t="shared" si="23"/>
        <v>0.3519646657801598</v>
      </c>
      <c r="AK32" s="25">
        <f t="shared" si="24"/>
        <v>0.14478599917608653</v>
      </c>
      <c r="AL32" s="25">
        <f t="shared" si="25"/>
        <v>0.14390801045221607</v>
      </c>
      <c r="AM32" s="25">
        <f t="shared" si="26"/>
        <v>1</v>
      </c>
      <c r="AN32" s="26">
        <f t="shared" si="27"/>
        <v>7.735977208659201</v>
      </c>
      <c r="AO32" s="5">
        <f t="shared" si="28"/>
        <v>6.948883504522112</v>
      </c>
      <c r="AP32" s="25">
        <f t="shared" si="29"/>
        <v>0.023291034677899374</v>
      </c>
      <c r="AQ32" s="26">
        <f t="shared" si="13"/>
        <v>4.830492658032089</v>
      </c>
      <c r="AR32" s="26">
        <f t="shared" si="14"/>
        <v>4.051320174060502</v>
      </c>
      <c r="AS32" s="5"/>
      <c r="AV32" s="5" t="s">
        <v>95</v>
      </c>
      <c r="AX32" s="5">
        <f>(AX31*$J30)/(1-$J30*(1-AX31))</f>
        <v>0</v>
      </c>
      <c r="AY32" s="5">
        <f>(AY31*$J31)/(1-$J31*(1-AY31))</f>
        <v>0</v>
      </c>
      <c r="AZ32" s="5">
        <f>(AZ31*$J32)/(1-$J32*(1-AZ31))</f>
        <v>0</v>
      </c>
      <c r="BA32" s="5">
        <f>(BA31*$J33)/(1-$J33*(1-BA31))</f>
        <v>0</v>
      </c>
      <c r="BB32" s="5"/>
      <c r="BD32" s="23">
        <f aca="true" t="shared" si="47" ref="BD32:BD37">BD31-2</f>
        <v>30</v>
      </c>
      <c r="BE32" s="23">
        <f t="shared" si="46"/>
        <v>27.26536355655754</v>
      </c>
      <c r="BF32" s="23">
        <f t="shared" si="41"/>
        <v>49.28904762287019</v>
      </c>
      <c r="BG32" s="23">
        <f t="shared" si="37"/>
        <v>100.14107978969797</v>
      </c>
      <c r="BH32" s="23">
        <f t="shared" si="35"/>
        <v>3147.1861344512204</v>
      </c>
      <c r="BI32" s="23">
        <v>30</v>
      </c>
      <c r="BJ32" s="24">
        <f t="shared" si="39"/>
        <v>0.10641464241036659</v>
      </c>
      <c r="BK32" s="24">
        <f t="shared" si="38"/>
        <v>0.04903304482595519</v>
      </c>
      <c r="BL32" s="24">
        <f t="shared" si="36"/>
        <v>0.0015403291141728162</v>
      </c>
      <c r="BM32" s="24">
        <f t="shared" si="40"/>
        <v>2.9876543360453353E-07</v>
      </c>
      <c r="BO32" s="1">
        <f t="shared" si="32"/>
        <v>0.561889834785127</v>
      </c>
      <c r="BP32" s="26">
        <f t="shared" si="34"/>
        <v>0.027815778843141716</v>
      </c>
      <c r="BQ32" s="26">
        <f t="shared" si="34"/>
        <v>0.012489989680379886</v>
      </c>
      <c r="BR32" s="26">
        <f t="shared" si="34"/>
        <v>0.004328641480800227</v>
      </c>
      <c r="BS32" s="26">
        <f t="shared" si="34"/>
        <v>0.0008708577282083045</v>
      </c>
      <c r="BU32" s="5">
        <v>0.6</v>
      </c>
      <c r="BV32" s="5">
        <v>0.4371944201814284</v>
      </c>
      <c r="BW32" s="5">
        <v>1.9309420224679754</v>
      </c>
      <c r="BX32" s="26">
        <v>5.607491729757862</v>
      </c>
      <c r="CA32" s="1">
        <f aca="true" t="shared" si="48" ref="CA32:CA37">CA31-2</f>
        <v>30</v>
      </c>
      <c r="CB32" s="23">
        <f t="shared" si="42"/>
        <v>27.26536355655754</v>
      </c>
      <c r="CC32" s="23">
        <f t="shared" si="43"/>
        <v>49.28904762287019</v>
      </c>
      <c r="CD32" s="23">
        <f t="shared" si="44"/>
        <v>100.14107978969797</v>
      </c>
      <c r="CE32" s="23">
        <f t="shared" si="45"/>
        <v>3147.1861344512204</v>
      </c>
    </row>
    <row r="33" spans="2:83" ht="15">
      <c r="B33" s="1">
        <v>11</v>
      </c>
      <c r="F33" s="5">
        <v>0.12736428571428574</v>
      </c>
      <c r="G33" s="5">
        <v>0.545557142857143</v>
      </c>
      <c r="H33" s="5">
        <v>2.88</v>
      </c>
      <c r="I33" s="5">
        <v>1</v>
      </c>
      <c r="J33" s="5">
        <v>0</v>
      </c>
      <c r="K33" s="5">
        <v>0</v>
      </c>
      <c r="M33" s="5">
        <f>X33</f>
        <v>0.31862892619568156</v>
      </c>
      <c r="N33" s="5">
        <f>AJ33</f>
        <v>0.43455169849824726</v>
      </c>
      <c r="O33" s="5">
        <f>AH33</f>
        <v>0.5311424904565721</v>
      </c>
      <c r="P33" s="5">
        <f>(N33-M33)*(1-T33)</f>
        <v>0.1159227723025657</v>
      </c>
      <c r="Q33" s="5">
        <f>AN33</f>
        <v>2.1032276635456717</v>
      </c>
      <c r="R33" s="5">
        <f>AG33</f>
        <v>1.2424724002900838</v>
      </c>
      <c r="S33" s="5">
        <f>N33-(S$16-33)*(O33-N33)/(33-AR33)</f>
        <v>0.5078294276570711</v>
      </c>
      <c r="T33" s="5">
        <f>((R33/2.65)*J33)/(1-J33*(1-R33/2.65))</f>
        <v>0</v>
      </c>
      <c r="U33" s="5">
        <f>T33*2.65+(1-T33)*R33</f>
        <v>1.2424724002900838</v>
      </c>
      <c r="W33" s="5">
        <f t="shared" si="15"/>
        <v>0.29704291771551017</v>
      </c>
      <c r="X33" s="5">
        <f t="shared" si="8"/>
        <v>0.31862892619568156</v>
      </c>
      <c r="Y33" s="25">
        <f t="shared" si="16"/>
        <v>0.39628053068040814</v>
      </c>
      <c r="Z33" s="25">
        <f t="shared" si="9"/>
        <v>0.43455169849824726</v>
      </c>
      <c r="AA33" s="5">
        <f t="shared" si="17"/>
        <v>0.10571218072897959</v>
      </c>
      <c r="AB33" s="5">
        <f t="shared" si="10"/>
        <v>0.06594512767261061</v>
      </c>
      <c r="AC33" s="5">
        <f t="shared" si="18"/>
        <v>0.5004968261708579</v>
      </c>
      <c r="AD33" s="25">
        <f t="shared" si="19"/>
        <v>0.03064566428571428</v>
      </c>
      <c r="AE33" s="5">
        <f t="shared" si="20"/>
        <v>0.5311424904565721</v>
      </c>
      <c r="AF33" s="5">
        <f t="shared" si="11"/>
        <v>1.2424724002900838</v>
      </c>
      <c r="AG33" s="5">
        <f t="shared" si="21"/>
        <v>1.2424724002900838</v>
      </c>
      <c r="AH33" s="5">
        <f t="shared" si="12"/>
        <v>0.5311424904565721</v>
      </c>
      <c r="AI33" s="25">
        <f t="shared" si="22"/>
        <v>0</v>
      </c>
      <c r="AJ33" s="25">
        <f t="shared" si="23"/>
        <v>0.43455169849824726</v>
      </c>
      <c r="AK33" s="25">
        <f t="shared" si="24"/>
        <v>0.09659079195832487</v>
      </c>
      <c r="AL33" s="25">
        <f t="shared" si="25"/>
        <v>0.0812971137101253</v>
      </c>
      <c r="AM33" s="25">
        <f t="shared" si="26"/>
        <v>1</v>
      </c>
      <c r="AN33" s="26">
        <f t="shared" si="27"/>
        <v>2.1032276635456717</v>
      </c>
      <c r="AO33" s="5">
        <f t="shared" si="28"/>
        <v>12.300559692261906</v>
      </c>
      <c r="AP33" s="25">
        <f t="shared" si="29"/>
        <v>0.0011647191365648218</v>
      </c>
      <c r="AQ33" s="26">
        <f t="shared" si="13"/>
        <v>3.5322362798554465</v>
      </c>
      <c r="AR33" s="26">
        <f t="shared" si="14"/>
        <v>2.682627442966322</v>
      </c>
      <c r="AS33" s="5"/>
      <c r="AV33" s="1" t="s">
        <v>96</v>
      </c>
      <c r="AX33" s="5">
        <f>AX28*(1-AX32)</f>
        <v>0.22669867938508803</v>
      </c>
      <c r="AY33" s="5">
        <f>AY28*(1-AY32)</f>
        <v>0.20274799359641787</v>
      </c>
      <c r="AZ33" s="5">
        <f>AZ28*(1-AZ32)</f>
        <v>0.1487474897071879</v>
      </c>
      <c r="BA33" s="5">
        <f>BA28*(1-BA32)</f>
        <v>0.1159227723025657</v>
      </c>
      <c r="BB33" s="5"/>
      <c r="BD33" s="23">
        <f t="shared" si="47"/>
        <v>28</v>
      </c>
      <c r="BE33" s="23">
        <f t="shared" si="46"/>
        <v>31.722458108585137</v>
      </c>
      <c r="BF33" s="23">
        <f t="shared" si="41"/>
        <v>65.1025216250145</v>
      </c>
      <c r="BG33" s="23">
        <f t="shared" si="37"/>
        <v>161.74215254443058</v>
      </c>
      <c r="BH33" s="23">
        <f t="shared" si="35"/>
        <v>7353.377246643343</v>
      </c>
      <c r="BI33" s="23">
        <v>28</v>
      </c>
      <c r="BJ33" s="24">
        <f t="shared" si="39"/>
        <v>0.06391468320522084</v>
      </c>
      <c r="BK33" s="24">
        <f t="shared" si="38"/>
        <v>0.02285095867459416</v>
      </c>
      <c r="BL33" s="24"/>
      <c r="BM33" s="24">
        <f t="shared" si="40"/>
        <v>4.449506481195466E-08</v>
      </c>
      <c r="BO33" s="1">
        <f t="shared" si="32"/>
        <v>0.5244305124661186</v>
      </c>
      <c r="BP33" s="26">
        <f t="shared" si="34"/>
        <v>0.012322263594898242</v>
      </c>
      <c r="BQ33" s="26">
        <f t="shared" si="34"/>
        <v>0.005482460726083544</v>
      </c>
      <c r="BR33" s="26">
        <f t="shared" si="34"/>
        <v>0.0018819250734118547</v>
      </c>
      <c r="BS33" s="26">
        <f t="shared" si="34"/>
        <v>0.0003748399217631878</v>
      </c>
      <c r="BU33" s="5">
        <v>0.65</v>
      </c>
      <c r="BV33" s="5">
        <v>0.49025569750739106</v>
      </c>
      <c r="BW33" s="5">
        <v>1.998734766760902</v>
      </c>
      <c r="BX33" s="26">
        <v>4.970600512586468</v>
      </c>
      <c r="CA33" s="1">
        <f t="shared" si="48"/>
        <v>28</v>
      </c>
      <c r="CB33" s="23">
        <f t="shared" si="42"/>
        <v>31.722458108585137</v>
      </c>
      <c r="CC33" s="23">
        <f t="shared" si="43"/>
        <v>65.1025216250145</v>
      </c>
      <c r="CD33" s="23">
        <f t="shared" si="44"/>
        <v>161.74215254443058</v>
      </c>
      <c r="CE33" s="23">
        <f t="shared" si="45"/>
        <v>7353.377246643343</v>
      </c>
    </row>
    <row r="34" spans="1:83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9"/>
      <c r="AJ34" s="29"/>
      <c r="AK34" s="29"/>
      <c r="AL34" s="27"/>
      <c r="AM34" s="27"/>
      <c r="AN34" s="27"/>
      <c r="AO34" s="27"/>
      <c r="AP34" s="27"/>
      <c r="AQ34" s="30"/>
      <c r="AR34" s="28"/>
      <c r="AS34" s="27"/>
      <c r="AV34" s="1" t="s">
        <v>97</v>
      </c>
      <c r="AX34" s="26">
        <f>$AN30</f>
        <v>0.0945573831101665</v>
      </c>
      <c r="AY34" s="26">
        <f>$AN31</f>
        <v>15.54946932044418</v>
      </c>
      <c r="AZ34" s="26">
        <f>$AN32</f>
        <v>7.735977208659201</v>
      </c>
      <c r="BA34" s="26">
        <f>$AN33</f>
        <v>2.1032276635456717</v>
      </c>
      <c r="BB34" s="31"/>
      <c r="BD34" s="23">
        <f t="shared" si="47"/>
        <v>26</v>
      </c>
      <c r="BE34" s="23">
        <f t="shared" si="46"/>
        <v>37.32479735054067</v>
      </c>
      <c r="BF34" s="23">
        <f t="shared" si="41"/>
        <v>87.78185727344554</v>
      </c>
      <c r="BG34" s="23">
        <f t="shared" si="37"/>
        <v>270.6891410554544</v>
      </c>
      <c r="BH34" s="23">
        <f t="shared" si="35"/>
        <v>18296.8558238306</v>
      </c>
      <c r="BI34" s="23">
        <v>26</v>
      </c>
      <c r="BJ34" s="24">
        <f t="shared" si="39"/>
        <v>0.0369645427797582</v>
      </c>
      <c r="BK34" s="24">
        <f t="shared" si="38"/>
        <v>0.010063208364173851</v>
      </c>
      <c r="BL34" s="24"/>
      <c r="BM34" s="24">
        <f t="shared" si="40"/>
        <v>5.754115242442404E-09</v>
      </c>
      <c r="BO34" s="1">
        <f t="shared" si="32"/>
        <v>0.48697119014711016</v>
      </c>
      <c r="BP34" s="26">
        <f aca="true" t="shared" si="49" ref="BP34:BR35">BP$20*$BO34^(3+2*BP$15)</f>
        <v>0.005138944944211739</v>
      </c>
      <c r="BQ34" s="26">
        <f t="shared" si="49"/>
        <v>0.002264006513201064</v>
      </c>
      <c r="BR34" s="26">
        <f t="shared" si="49"/>
        <v>0.0007691890790805057</v>
      </c>
      <c r="BS34" s="26"/>
      <c r="BU34" s="5">
        <v>0.7</v>
      </c>
      <c r="BV34" s="5">
        <v>0.5471783611943417</v>
      </c>
      <c r="BW34" s="5">
        <v>2.0714609388071508</v>
      </c>
      <c r="BX34" s="26">
        <v>4.316862719363237</v>
      </c>
      <c r="CA34" s="1">
        <f t="shared" si="48"/>
        <v>26</v>
      </c>
      <c r="CB34" s="23">
        <f t="shared" si="42"/>
        <v>37.32479735054067</v>
      </c>
      <c r="CC34" s="23">
        <f t="shared" si="43"/>
        <v>87.78185727344554</v>
      </c>
      <c r="CD34" s="23">
        <f t="shared" si="44"/>
        <v>270.6891410554544</v>
      </c>
      <c r="CE34" s="23">
        <f t="shared" si="45"/>
        <v>18296.8558238306</v>
      </c>
    </row>
    <row r="35" spans="1:83" ht="15">
      <c r="A35" s="10" t="s">
        <v>135</v>
      </c>
      <c r="M35" s="5"/>
      <c r="N35" s="5"/>
      <c r="O35" s="5"/>
      <c r="P35" s="5"/>
      <c r="Q35" s="5"/>
      <c r="S35" s="55" t="s">
        <v>150</v>
      </c>
      <c r="V35" s="5"/>
      <c r="AB35" s="1" t="s">
        <v>13</v>
      </c>
      <c r="AC35" s="1" t="s">
        <v>14</v>
      </c>
      <c r="AF35" s="1" t="s">
        <v>15</v>
      </c>
      <c r="AG35" s="1" t="s">
        <v>15</v>
      </c>
      <c r="AH35" s="1" t="s">
        <v>16</v>
      </c>
      <c r="AI35" s="1" t="s">
        <v>16</v>
      </c>
      <c r="AJ35" s="1" t="s">
        <v>17</v>
      </c>
      <c r="AK35" s="1" t="s">
        <v>18</v>
      </c>
      <c r="AM35" s="1" t="s">
        <v>19</v>
      </c>
      <c r="AO35" s="1" t="s">
        <v>20</v>
      </c>
      <c r="AP35" s="1" t="s">
        <v>20</v>
      </c>
      <c r="AY35" s="5"/>
      <c r="AZ35" s="5"/>
      <c r="BB35" s="31"/>
      <c r="BD35" s="23">
        <f t="shared" si="47"/>
        <v>24</v>
      </c>
      <c r="BE35" s="23">
        <f t="shared" si="46"/>
        <v>44.49224766923059</v>
      </c>
      <c r="BF35" s="23">
        <f t="shared" si="41"/>
        <v>121.22912131300605</v>
      </c>
      <c r="BG35" s="23">
        <f t="shared" si="37"/>
        <v>472.0941955474294</v>
      </c>
      <c r="BH35" s="23">
        <f t="shared" si="35"/>
        <v>48974.479497367916</v>
      </c>
      <c r="BI35" s="23">
        <v>24</v>
      </c>
      <c r="BJ35" s="24">
        <f t="shared" si="39"/>
        <v>0.020460924115776404</v>
      </c>
      <c r="BK35" s="24">
        <f t="shared" si="38"/>
        <v>0.0041499776929806425</v>
      </c>
      <c r="BL35" s="24"/>
      <c r="BM35" s="24"/>
      <c r="BO35" s="1">
        <f t="shared" si="32"/>
        <v>0.44951186782810165</v>
      </c>
      <c r="BP35" s="26">
        <f t="shared" si="49"/>
        <v>0.0019982087690722217</v>
      </c>
      <c r="BQ35" s="26">
        <f t="shared" si="49"/>
        <v>0.0008710044656822946</v>
      </c>
      <c r="BR35" s="26">
        <f t="shared" si="49"/>
        <v>0.00029264855277530254</v>
      </c>
      <c r="BS35" s="26"/>
      <c r="CA35" s="1">
        <f t="shared" si="48"/>
        <v>24</v>
      </c>
      <c r="CB35" s="23">
        <f t="shared" si="42"/>
        <v>44.49224766923059</v>
      </c>
      <c r="CC35" s="23">
        <f t="shared" si="43"/>
        <v>121.22912131300605</v>
      </c>
      <c r="CD35" s="23">
        <f t="shared" si="44"/>
        <v>472.0941955474294</v>
      </c>
      <c r="CE35" s="23">
        <f t="shared" si="45"/>
        <v>48974.479497367916</v>
      </c>
    </row>
    <row r="36" spans="9:83" ht="15">
      <c r="I36" s="1" t="s">
        <v>15</v>
      </c>
      <c r="J36" s="5" t="s">
        <v>23</v>
      </c>
      <c r="K36" s="32" t="s">
        <v>24</v>
      </c>
      <c r="M36" s="5" t="s">
        <v>25</v>
      </c>
      <c r="N36" s="5" t="s">
        <v>26</v>
      </c>
      <c r="O36" s="5" t="s">
        <v>27</v>
      </c>
      <c r="P36" s="1" t="s">
        <v>28</v>
      </c>
      <c r="R36" s="1" t="s">
        <v>29</v>
      </c>
      <c r="S36" s="55" t="s">
        <v>151</v>
      </c>
      <c r="T36" s="1" t="s">
        <v>23</v>
      </c>
      <c r="U36" s="1" t="s">
        <v>31</v>
      </c>
      <c r="V36" s="5"/>
      <c r="W36" s="1" t="s">
        <v>32</v>
      </c>
      <c r="X36" s="1" t="s">
        <v>32</v>
      </c>
      <c r="Y36" s="1" t="s">
        <v>32</v>
      </c>
      <c r="Z36" s="1" t="s">
        <v>33</v>
      </c>
      <c r="AA36" s="1" t="s">
        <v>34</v>
      </c>
      <c r="AB36" s="1" t="s">
        <v>34</v>
      </c>
      <c r="AC36" s="1" t="s">
        <v>35</v>
      </c>
      <c r="AD36" s="1" t="s">
        <v>14</v>
      </c>
      <c r="AE36" s="1" t="s">
        <v>36</v>
      </c>
      <c r="AF36" s="1" t="s">
        <v>37</v>
      </c>
      <c r="AG36" s="1" t="s">
        <v>38</v>
      </c>
      <c r="AH36" s="1" t="s">
        <v>39</v>
      </c>
      <c r="AI36" s="1" t="s">
        <v>40</v>
      </c>
      <c r="AJ36" s="1" t="s">
        <v>41</v>
      </c>
      <c r="AK36" s="1" t="s">
        <v>17</v>
      </c>
      <c r="AL36" s="1" t="s">
        <v>42</v>
      </c>
      <c r="AM36" s="1" t="s">
        <v>43</v>
      </c>
      <c r="AN36" s="1" t="s">
        <v>44</v>
      </c>
      <c r="AO36" s="22" t="s">
        <v>45</v>
      </c>
      <c r="AP36" s="22" t="s">
        <v>46</v>
      </c>
      <c r="AQ36" s="1" t="s">
        <v>47</v>
      </c>
      <c r="AR36" s="1" t="s">
        <v>47</v>
      </c>
      <c r="AV36" s="1" t="s">
        <v>10</v>
      </c>
      <c r="AY36" s="5"/>
      <c r="AZ36" s="5"/>
      <c r="BB36" s="31"/>
      <c r="BD36" s="23">
        <f t="shared" si="47"/>
        <v>22</v>
      </c>
      <c r="BE36" s="23">
        <f t="shared" si="46"/>
        <v>53.85337356680142</v>
      </c>
      <c r="BF36" s="23">
        <f t="shared" si="41"/>
        <v>172.19297006115593</v>
      </c>
      <c r="BG36" s="23">
        <f t="shared" si="37"/>
        <v>864.2053850921321</v>
      </c>
      <c r="BH36" s="23">
        <f t="shared" si="35"/>
        <v>142820.4107930285</v>
      </c>
      <c r="BI36" s="23">
        <v>22</v>
      </c>
      <c r="BJ36" s="24">
        <f t="shared" si="39"/>
        <v>0.010757278829622909</v>
      </c>
      <c r="BK36" s="24">
        <f t="shared" si="38"/>
        <v>0.0015843938949853227</v>
      </c>
      <c r="BL36" s="24"/>
      <c r="BM36" s="24"/>
      <c r="BO36" s="1">
        <f t="shared" si="32"/>
        <v>0.4120525455090932</v>
      </c>
      <c r="BP36" s="26">
        <f>BP$20*$BO36^(3+2*BP$15)</f>
        <v>0.0007156358477758807</v>
      </c>
      <c r="BQ36" s="26">
        <f>BQ$20*$BO36^(3+2*BQ$15)</f>
        <v>0.0003083506243525358</v>
      </c>
      <c r="BR36" s="26"/>
      <c r="BS36" s="26"/>
      <c r="CA36" s="1">
        <f t="shared" si="48"/>
        <v>22</v>
      </c>
      <c r="CB36" s="23">
        <f t="shared" si="42"/>
        <v>53.85337356680142</v>
      </c>
      <c r="CC36" s="23">
        <f t="shared" si="43"/>
        <v>172.19297006115593</v>
      </c>
      <c r="CD36" s="23">
        <f t="shared" si="44"/>
        <v>864.2053850921321</v>
      </c>
      <c r="CE36" s="23">
        <f t="shared" si="45"/>
        <v>142820.4107930285</v>
      </c>
    </row>
    <row r="37" spans="1:83" ht="15">
      <c r="A37" s="50" t="s">
        <v>133</v>
      </c>
      <c r="C37" s="6"/>
      <c r="I37" s="1" t="s">
        <v>53</v>
      </c>
      <c r="J37" s="1" t="s">
        <v>54</v>
      </c>
      <c r="K37" s="33" t="s">
        <v>98</v>
      </c>
      <c r="M37" s="1" t="s">
        <v>56</v>
      </c>
      <c r="N37" s="1" t="s">
        <v>57</v>
      </c>
      <c r="O37" s="1" t="s">
        <v>14</v>
      </c>
      <c r="P37" s="1" t="s">
        <v>58</v>
      </c>
      <c r="Q37" s="1" t="s">
        <v>59</v>
      </c>
      <c r="S37" s="1">
        <v>33</v>
      </c>
      <c r="T37" s="1" t="s">
        <v>60</v>
      </c>
      <c r="U37" s="1" t="s">
        <v>15</v>
      </c>
      <c r="V37" s="5"/>
      <c r="W37" s="1" t="s">
        <v>61</v>
      </c>
      <c r="X37" s="1" t="s">
        <v>61</v>
      </c>
      <c r="Y37" s="1" t="s">
        <v>17</v>
      </c>
      <c r="Z37" s="1" t="s">
        <v>17</v>
      </c>
      <c r="AA37" s="1" t="s">
        <v>62</v>
      </c>
      <c r="AB37" s="1" t="s">
        <v>62</v>
      </c>
      <c r="AC37" s="1" t="s">
        <v>62</v>
      </c>
      <c r="AD37" s="1" t="s">
        <v>36</v>
      </c>
      <c r="AE37" s="1" t="s">
        <v>14</v>
      </c>
      <c r="AH37" s="1" t="s">
        <v>63</v>
      </c>
      <c r="AI37" s="1" t="s">
        <v>64</v>
      </c>
      <c r="AK37" s="1" t="s">
        <v>38</v>
      </c>
      <c r="AM37" s="1" t="s">
        <v>44</v>
      </c>
      <c r="AN37" s="1" t="s">
        <v>65</v>
      </c>
      <c r="AQ37" s="1" t="s">
        <v>66</v>
      </c>
      <c r="AR37" s="1" t="s">
        <v>67</v>
      </c>
      <c r="AV37" s="1" t="s">
        <v>99</v>
      </c>
      <c r="AX37" s="5">
        <f>$F$30</f>
        <v>0.05</v>
      </c>
      <c r="AY37" s="5">
        <f>$F$31</f>
        <v>0.15038994565217392</v>
      </c>
      <c r="AZ37" s="5">
        <f>$F$32</f>
        <v>0.2911769230769231</v>
      </c>
      <c r="BA37" s="5">
        <f>$F$33</f>
        <v>0.12736428571428574</v>
      </c>
      <c r="BB37" s="31"/>
      <c r="BD37" s="23">
        <f t="shared" si="47"/>
        <v>20</v>
      </c>
      <c r="BE37" s="23">
        <f t="shared" si="46"/>
        <v>66.3820840647013</v>
      </c>
      <c r="BF37" s="23">
        <f t="shared" si="41"/>
        <v>252.90650265440664</v>
      </c>
      <c r="BG37" s="23">
        <f t="shared" si="37"/>
        <v>1675.9070013315416</v>
      </c>
      <c r="BH37" s="23">
        <f t="shared" si="35"/>
        <v>461257.533669047</v>
      </c>
      <c r="BI37" s="23">
        <v>20</v>
      </c>
      <c r="BJ37" s="24">
        <f t="shared" si="39"/>
        <v>0.005319225878245179</v>
      </c>
      <c r="BK37" s="24"/>
      <c r="BL37" s="24"/>
      <c r="BM37" s="24"/>
      <c r="BO37" s="1">
        <f t="shared" si="32"/>
        <v>0.3745932231900847</v>
      </c>
      <c r="BP37" s="24"/>
      <c r="CA37" s="1">
        <f t="shared" si="48"/>
        <v>20</v>
      </c>
      <c r="CB37" s="23">
        <f t="shared" si="42"/>
        <v>66.3820840647013</v>
      </c>
      <c r="CC37" s="23">
        <f t="shared" si="43"/>
        <v>252.90650265440664</v>
      </c>
      <c r="CD37" s="23">
        <f t="shared" si="44"/>
        <v>1675.9070013315416</v>
      </c>
      <c r="CE37" s="23">
        <f t="shared" si="45"/>
        <v>461257.533669047</v>
      </c>
    </row>
    <row r="38" spans="1:83" ht="17.25">
      <c r="A38" s="17" t="s">
        <v>137</v>
      </c>
      <c r="B38" s="12" t="s">
        <v>136</v>
      </c>
      <c r="C38" s="6"/>
      <c r="D38" s="17" t="s">
        <v>107</v>
      </c>
      <c r="E38" s="16"/>
      <c r="F38" s="16"/>
      <c r="G38" s="16"/>
      <c r="H38" s="17" t="s">
        <v>10</v>
      </c>
      <c r="I38" s="34"/>
      <c r="J38" s="16"/>
      <c r="K38" s="35" t="s">
        <v>55</v>
      </c>
      <c r="L38" s="5"/>
      <c r="M38" s="1" t="s">
        <v>52</v>
      </c>
      <c r="N38" s="1" t="s">
        <v>52</v>
      </c>
      <c r="O38" s="1" t="s">
        <v>52</v>
      </c>
      <c r="P38" s="1" t="s">
        <v>52</v>
      </c>
      <c r="Q38" s="1" t="s">
        <v>65</v>
      </c>
      <c r="R38" s="1" t="s">
        <v>72</v>
      </c>
      <c r="S38" s="1" t="s">
        <v>52</v>
      </c>
      <c r="U38" s="1" t="s">
        <v>72</v>
      </c>
      <c r="V38" s="5"/>
      <c r="W38" s="1" t="s">
        <v>73</v>
      </c>
      <c r="X38" s="1" t="s">
        <v>74</v>
      </c>
      <c r="AQ38" s="1" t="s">
        <v>75</v>
      </c>
      <c r="AR38" s="1" t="s">
        <v>76</v>
      </c>
      <c r="AV38" s="1" t="s">
        <v>100</v>
      </c>
      <c r="AX38" s="5">
        <f>$G30</f>
        <v>0.05</v>
      </c>
      <c r="AY38" s="5">
        <f>$G31</f>
        <v>0.1801073369565219</v>
      </c>
      <c r="AZ38" s="5">
        <f>$G32</f>
        <v>0.3157692307692308</v>
      </c>
      <c r="BA38" s="5">
        <f>$G33</f>
        <v>0.545557142857143</v>
      </c>
      <c r="BB38" s="31"/>
      <c r="BD38" s="23">
        <v>19</v>
      </c>
      <c r="BE38" s="23">
        <f t="shared" si="46"/>
        <v>74.29119726409539</v>
      </c>
      <c r="BF38" s="23">
        <f t="shared" si="41"/>
        <v>311.0319022116163</v>
      </c>
      <c r="BG38" s="23">
        <f t="shared" si="37"/>
        <v>2393.569195808273</v>
      </c>
      <c r="BH38" s="23">
        <f t="shared" si="35"/>
        <v>866873.237416852</v>
      </c>
      <c r="BI38" s="23">
        <v>18</v>
      </c>
      <c r="BJ38" s="24"/>
      <c r="BK38" s="24"/>
      <c r="BL38" s="24"/>
      <c r="BM38" s="24"/>
      <c r="BO38" s="1">
        <f t="shared" si="32"/>
        <v>0.3371339008710762</v>
      </c>
      <c r="BP38" s="24"/>
      <c r="CA38" s="1">
        <v>19</v>
      </c>
      <c r="CB38" s="23">
        <f t="shared" si="42"/>
        <v>74.29119726409539</v>
      </c>
      <c r="CC38" s="23">
        <f t="shared" si="43"/>
        <v>311.0319022116163</v>
      </c>
      <c r="CD38" s="23">
        <f t="shared" si="44"/>
        <v>2393.569195808273</v>
      </c>
      <c r="CE38" s="23">
        <f t="shared" si="45"/>
        <v>866873.237416852</v>
      </c>
    </row>
    <row r="39" spans="1:83" ht="17.25">
      <c r="A39" s="17" t="s">
        <v>101</v>
      </c>
      <c r="B39" s="12" t="s">
        <v>117</v>
      </c>
      <c r="C39" s="6"/>
      <c r="D39" s="47" t="s">
        <v>50</v>
      </c>
      <c r="F39" s="36" t="s">
        <v>102</v>
      </c>
      <c r="G39" s="36" t="s">
        <v>68</v>
      </c>
      <c r="H39" s="34" t="s">
        <v>103</v>
      </c>
      <c r="I39" s="37" t="s">
        <v>104</v>
      </c>
      <c r="J39" s="34" t="s">
        <v>105</v>
      </c>
      <c r="K39" s="38" t="s">
        <v>24</v>
      </c>
      <c r="M39" s="18"/>
      <c r="N39" s="18"/>
      <c r="O39" s="19" t="s">
        <v>11</v>
      </c>
      <c r="P39" s="18"/>
      <c r="Q39" s="18"/>
      <c r="R39" s="18"/>
      <c r="S39" s="18"/>
      <c r="T39" s="18"/>
      <c r="U39" s="18"/>
      <c r="W39" s="14"/>
      <c r="X39" s="14"/>
      <c r="Y39" s="13" t="s">
        <v>12</v>
      </c>
      <c r="Z39" s="14"/>
      <c r="AA39" s="14"/>
      <c r="AB39" s="14"/>
      <c r="AC39" s="14"/>
      <c r="AD39" s="13" t="s">
        <v>12</v>
      </c>
      <c r="AE39" s="14"/>
      <c r="AF39" s="14"/>
      <c r="AG39" s="14"/>
      <c r="AH39" s="13" t="s">
        <v>12</v>
      </c>
      <c r="AI39" s="14"/>
      <c r="AJ39" s="14"/>
      <c r="AK39" s="14"/>
      <c r="AL39" s="14"/>
      <c r="AM39" s="13" t="s">
        <v>12</v>
      </c>
      <c r="AN39" s="14"/>
      <c r="AO39" s="14"/>
      <c r="AP39" s="14"/>
      <c r="AQ39" s="13" t="s">
        <v>12</v>
      </c>
      <c r="AR39" s="14"/>
      <c r="AS39" s="14"/>
      <c r="AT39" s="6"/>
      <c r="AV39" s="1" t="s">
        <v>106</v>
      </c>
      <c r="AX39" s="5">
        <f>$H30</f>
        <v>1</v>
      </c>
      <c r="AY39" s="5">
        <f>$H31</f>
        <v>3.045249239130434</v>
      </c>
      <c r="AZ39" s="5">
        <f>$H32</f>
        <v>3.5097987692307693</v>
      </c>
      <c r="BA39" s="5">
        <f>$H33</f>
        <v>2.88</v>
      </c>
      <c r="BC39" s="31"/>
      <c r="BD39" s="23">
        <v>18</v>
      </c>
      <c r="BE39" s="23">
        <f t="shared" si="46"/>
        <v>83.65031844968567</v>
      </c>
      <c r="BF39" s="23">
        <f t="shared" si="41"/>
        <v>386.81977319907287</v>
      </c>
      <c r="BG39" s="23">
        <f t="shared" si="37"/>
        <v>3485.0850947188364</v>
      </c>
      <c r="BH39" s="23">
        <f t="shared" si="35"/>
        <v>1685723.0161140945</v>
      </c>
      <c r="BI39" s="23">
        <v>15</v>
      </c>
      <c r="BJ39" s="24"/>
      <c r="BK39" s="24"/>
      <c r="BL39" s="24"/>
      <c r="BM39" s="24"/>
      <c r="CA39" s="1">
        <v>18</v>
      </c>
      <c r="CB39" s="23">
        <f t="shared" si="42"/>
        <v>83.65031844968567</v>
      </c>
      <c r="CC39" s="23">
        <f t="shared" si="43"/>
        <v>386.81977319907287</v>
      </c>
      <c r="CD39" s="23">
        <f t="shared" si="44"/>
        <v>3485.0850947188364</v>
      </c>
      <c r="CE39" s="23">
        <f t="shared" si="45"/>
        <v>1685723.0161140945</v>
      </c>
    </row>
    <row r="40" spans="1:83" ht="17.25">
      <c r="A40" s="1">
        <v>1.4</v>
      </c>
      <c r="B40" s="5">
        <f>A40/U40</f>
        <v>0.9814673586626889</v>
      </c>
      <c r="D40" s="54" t="s">
        <v>138</v>
      </c>
      <c r="E40" s="6"/>
      <c r="F40" s="5">
        <v>0.88</v>
      </c>
      <c r="G40" s="5">
        <v>0.05</v>
      </c>
      <c r="H40" s="5">
        <v>2.5</v>
      </c>
      <c r="I40" s="5">
        <v>1</v>
      </c>
      <c r="J40" s="5">
        <v>0</v>
      </c>
      <c r="K40" s="43"/>
      <c r="L40" s="43"/>
      <c r="M40" s="23">
        <f>X40*100</f>
        <v>5.022058</v>
      </c>
      <c r="N40" s="23">
        <f>AJ40*100</f>
        <v>10.282792364858702</v>
      </c>
      <c r="O40" s="23">
        <f>AH40*100</f>
        <v>46.17224076485871</v>
      </c>
      <c r="P40" s="23">
        <f>(N40-M40)*(1-T40)</f>
        <v>5.260734364858702</v>
      </c>
      <c r="Q40" s="26">
        <f>AN40</f>
        <v>108.14782785074016</v>
      </c>
      <c r="R40" s="5">
        <f>AG40</f>
        <v>1.4264356197312442</v>
      </c>
      <c r="S40" s="23">
        <f>N40-(S$37-33)*(O40-N40)/(33-AR40)</f>
        <v>10.282792364858702</v>
      </c>
      <c r="T40" s="5">
        <f>((R40/2.65)*J40)/(1-J40*(1-R40/2.65))</f>
        <v>0</v>
      </c>
      <c r="U40" s="5">
        <f>T40*2.65+(1-T40)*R40</f>
        <v>1.4264356197312442</v>
      </c>
      <c r="V40" s="5"/>
      <c r="W40" s="25">
        <f>-0.024*F40+0.487*G40+0.006*H40+0.005*F40*H40-0.013*G40*H40+0.068*F40*G40+0.031</f>
        <v>0.061597</v>
      </c>
      <c r="X40" s="25">
        <f>W40+0.14*W40-0.02</f>
        <v>0.05022058</v>
      </c>
      <c r="Y40" s="5">
        <f>-0.251*F40+0.195*G40+0.011*H40+0.006*F40*H40-0.027*G40*H40+0.452*F40*G40+0.299</f>
        <v>0.14508300000000002</v>
      </c>
      <c r="Z40" s="5">
        <f>Y40+(1.283*Y40*Y40-0.374*Y40-0.015)</f>
        <v>0.10282792364858702</v>
      </c>
      <c r="AA40" s="5">
        <f>0.278*F40+0.034*G40+0.022*H40-0.018*F40*H40-0.027*G40*H40-0.584*F40*G40+0.078</f>
        <v>0.3106690000000001</v>
      </c>
      <c r="AB40" s="5">
        <f>AA40+(0.636*AA40-0.107)</f>
        <v>0.40125448400000013</v>
      </c>
      <c r="AC40" s="5">
        <f>AB40+Z40</f>
        <v>0.5040824076485871</v>
      </c>
      <c r="AD40" s="5">
        <f>-0.097*F40+0.043</f>
        <v>-0.04236000000000001</v>
      </c>
      <c r="AE40" s="5">
        <f>AC40+AD40</f>
        <v>0.46172240764858713</v>
      </c>
      <c r="AF40" s="5">
        <f>(1-AE40)*2.65</f>
        <v>1.4264356197312442</v>
      </c>
      <c r="AG40" s="25">
        <f>AF40*(I40)</f>
        <v>1.4264356197312442</v>
      </c>
      <c r="AH40" s="25">
        <f>1-(AG40/2.65)</f>
        <v>0.4617224076485871</v>
      </c>
      <c r="AI40" s="25">
        <f>(1-AG40/2.65)-(1-AF40/2.65)</f>
        <v>0</v>
      </c>
      <c r="AJ40" s="25">
        <f aca="true" t="shared" si="50" ref="AJ40:AJ51">Z40+0.2*AI40</f>
        <v>0.10282792364858702</v>
      </c>
      <c r="AK40" s="25">
        <f>AH40-AJ40</f>
        <v>0.35889448400000007</v>
      </c>
      <c r="AL40" s="25">
        <f>(LN(AJ40)-LN(X40))/(LN(1500)-LN(33))</f>
        <v>0.18776158355467926</v>
      </c>
      <c r="AM40" s="25">
        <f>(1-J40)/(1-J40*(1-1.5*(R40/2.65)))</f>
        <v>1</v>
      </c>
      <c r="AN40" s="26">
        <f>1930*(AK40)^(3-AL40)*AM40</f>
        <v>108.14782785074016</v>
      </c>
      <c r="AO40" s="5">
        <f>(LN(1500)-LN(33))/(LN(AJ40)-LN(X40))</f>
        <v>5.325903100453899</v>
      </c>
      <c r="AP40" s="25">
        <f>EXP(LN(33)+(AO40*LN(AJ40)))</f>
        <v>0.00018076452552206025</v>
      </c>
      <c r="AQ40" s="26">
        <f>-21.674*$F40-27.932*$G40-81.975*$AK40+71.121*$F40*$AK40+8.294*$G40*$AK40+14.05*$F40*$G40+27.161</f>
        <v>0.49988066159112066</v>
      </c>
      <c r="AR40" s="26">
        <f>AQ40+(0.02*AQ40^2-0.113*AQ40-0.7)</f>
        <v>-0.2516082396520204</v>
      </c>
      <c r="AS40" s="25"/>
      <c r="AV40" s="1" t="s">
        <v>104</v>
      </c>
      <c r="AX40" s="5">
        <f>$I30</f>
        <v>1.2</v>
      </c>
      <c r="AY40" s="5">
        <f>$I31</f>
        <v>1</v>
      </c>
      <c r="AZ40" s="5">
        <f>$I32</f>
        <v>1</v>
      </c>
      <c r="BA40" s="5">
        <f>$I33</f>
        <v>1</v>
      </c>
      <c r="BB40" s="31"/>
      <c r="BD40" s="23">
        <v>17</v>
      </c>
      <c r="BE40" s="23">
        <f t="shared" si="46"/>
        <v>94.82961454745565</v>
      </c>
      <c r="BF40" s="23">
        <f t="shared" si="41"/>
        <v>487.1098421275654</v>
      </c>
      <c r="BG40" s="23">
        <f t="shared" si="37"/>
        <v>5184.532223831936</v>
      </c>
      <c r="BH40" s="23">
        <f t="shared" si="35"/>
        <v>3405102.5029573822</v>
      </c>
      <c r="BI40" s="23">
        <v>13</v>
      </c>
      <c r="BJ40" s="24"/>
      <c r="BK40" s="24"/>
      <c r="BL40" s="24"/>
      <c r="BM40" s="24"/>
      <c r="CA40" s="1">
        <v>17</v>
      </c>
      <c r="CB40" s="23">
        <f t="shared" si="42"/>
        <v>94.82961454745565</v>
      </c>
      <c r="CC40" s="23">
        <f t="shared" si="43"/>
        <v>487.1098421275654</v>
      </c>
      <c r="CD40" s="23">
        <f t="shared" si="44"/>
        <v>5184.532223831936</v>
      </c>
      <c r="CE40" s="23">
        <f t="shared" si="45"/>
        <v>3405102.5029573822</v>
      </c>
    </row>
    <row r="41" spans="1:83" ht="15">
      <c r="A41" s="1">
        <v>1.5</v>
      </c>
      <c r="B41" s="5">
        <f>A41/U41</f>
        <v>1.0486562998782603</v>
      </c>
      <c r="D41" s="54" t="s">
        <v>139</v>
      </c>
      <c r="E41" s="6"/>
      <c r="F41" s="5">
        <v>0.8</v>
      </c>
      <c r="G41" s="5">
        <v>0.05</v>
      </c>
      <c r="H41" s="5">
        <v>2.5</v>
      </c>
      <c r="I41" s="5">
        <v>1</v>
      </c>
      <c r="J41" s="5">
        <v>0</v>
      </c>
      <c r="M41" s="23">
        <f aca="true" t="shared" si="51" ref="M41:M51">X41*100</f>
        <v>5.095929999999998</v>
      </c>
      <c r="N41" s="23">
        <f aca="true" t="shared" si="52" ref="N41:N51">AJ41*100</f>
        <v>12.024454508407503</v>
      </c>
      <c r="O41" s="23">
        <f aca="true" t="shared" si="53" ref="O41:O51">AH41*100</f>
        <v>46.02256850840752</v>
      </c>
      <c r="P41" s="23">
        <f aca="true" t="shared" si="54" ref="P41:P51">(N41-M41)*(1-T41)</f>
        <v>6.928524508407505</v>
      </c>
      <c r="Q41" s="26">
        <f aca="true" t="shared" si="55" ref="Q41:Q51">AN41</f>
        <v>96.67462996247916</v>
      </c>
      <c r="R41" s="5">
        <f aca="true" t="shared" si="56" ref="R41:R51">AG41</f>
        <v>1.4304019345272008</v>
      </c>
      <c r="S41" s="23">
        <f aca="true" t="shared" si="57" ref="S41:S51">N41-(S$37-33)*(O41-N41)/(33-AR41)</f>
        <v>12.024454508407503</v>
      </c>
      <c r="T41" s="5">
        <f aca="true" t="shared" si="58" ref="T41:T51">((R41/2.65)*J41)/(1-J41*(1-R41/2.65))</f>
        <v>0</v>
      </c>
      <c r="U41" s="5">
        <f aca="true" t="shared" si="59" ref="U41:U51">T41*2.65+(1-T41)*R41</f>
        <v>1.4304019345272008</v>
      </c>
      <c r="V41" s="5"/>
      <c r="W41" s="25">
        <f aca="true" t="shared" si="60" ref="W41:W51">-0.024*F41+0.487*G41+0.006*H41+0.005*F41*H41-0.013*G41*H41+0.068*F41*G41+0.031</f>
        <v>0.062244999999999995</v>
      </c>
      <c r="X41" s="25">
        <f aca="true" t="shared" si="61" ref="X41:X54">W41+0.14*W41-0.02</f>
        <v>0.050959299999999985</v>
      </c>
      <c r="Y41" s="5">
        <f aca="true" t="shared" si="62" ref="Y41:Y51">-0.251*F41+0.195*G41+0.011*H41+0.006*F41*H41-0.027*G41*H41+0.452*F41*G41+0.299</f>
        <v>0.16215500000000002</v>
      </c>
      <c r="Z41" s="5">
        <f aca="true" t="shared" si="63" ref="Z41:Z54">Y41+(1.283*Y41*Y41-0.374*Y41-0.015)</f>
        <v>0.12024454508407503</v>
      </c>
      <c r="AA41" s="5">
        <f aca="true" t="shared" si="64" ref="AA41:AA51">0.278*F41+0.034*G41+0.022*H41-0.018*F41*H41-0.027*G41*H41-0.584*F41*G41+0.078</f>
        <v>0.29436500000000004</v>
      </c>
      <c r="AB41" s="5">
        <f aca="true" t="shared" si="65" ref="AB41:AB54">AA41+(0.636*AA41-0.107)</f>
        <v>0.3745811400000001</v>
      </c>
      <c r="AC41" s="5">
        <f aca="true" t="shared" si="66" ref="AC41:AC51">AB41+Z41</f>
        <v>0.4948256850840751</v>
      </c>
      <c r="AD41" s="5">
        <f aca="true" t="shared" si="67" ref="AD41:AD51">-0.097*F41+0.043</f>
        <v>-0.034600000000000006</v>
      </c>
      <c r="AE41" s="5">
        <f aca="true" t="shared" si="68" ref="AE41:AE51">AC41+AD41</f>
        <v>0.4602256850840751</v>
      </c>
      <c r="AF41" s="5">
        <f aca="true" t="shared" si="69" ref="AF41:AF54">(1-AE41)*2.65</f>
        <v>1.4304019345272008</v>
      </c>
      <c r="AG41" s="25">
        <f aca="true" t="shared" si="70" ref="AG41:AG51">AF41*(I41)</f>
        <v>1.4304019345272008</v>
      </c>
      <c r="AH41" s="25">
        <f aca="true" t="shared" si="71" ref="AH41:AH54">1-(AG41/2.65)</f>
        <v>0.46022568508407513</v>
      </c>
      <c r="AI41" s="25">
        <f aca="true" t="shared" si="72" ref="AI41:AI51">(1-AG41/2.65)-(1-AF41/2.65)</f>
        <v>0</v>
      </c>
      <c r="AJ41" s="25">
        <f t="shared" si="50"/>
        <v>0.12024454508407503</v>
      </c>
      <c r="AK41" s="25">
        <f aca="true" t="shared" si="73" ref="AK41:AK51">AH41-AJ41</f>
        <v>0.3399811400000001</v>
      </c>
      <c r="AL41" s="25">
        <f aca="true" t="shared" si="74" ref="AL41:AL51">(LN(AJ41)-LN(X41))/(LN(1500)-LN(33))</f>
        <v>0.2249318482022793</v>
      </c>
      <c r="AM41" s="25">
        <f aca="true" t="shared" si="75" ref="AM41:AM51">(1-J41)/(1-J41*(1-1.5*(R41/2.65)))</f>
        <v>1</v>
      </c>
      <c r="AN41" s="26">
        <f aca="true" t="shared" si="76" ref="AN41:AN51">1930*(AK41)^(3-AL41)*AM41</f>
        <v>96.67462996247916</v>
      </c>
      <c r="AO41" s="5">
        <f aca="true" t="shared" si="77" ref="AO41:AO51">(LN(1500)-LN(33))/(LN(AJ41)-LN(X41))</f>
        <v>4.445791060680338</v>
      </c>
      <c r="AP41" s="25">
        <f aca="true" t="shared" si="78" ref="AP41:AP51">EXP(LN(33)+(AO41*LN(AJ41)))</f>
        <v>0.0026833470524757087</v>
      </c>
      <c r="AQ41" s="26">
        <f aca="true" t="shared" si="79" ref="AQ41:AQ54">-21.674*$F41-27.932*$G41-81.975*$AK41+71.121*$F41*$AK41+8.294*$G41*$AK41+14.05*$F41*$G41+27.161</f>
        <v>0.6020751536100022</v>
      </c>
      <c r="AR41" s="26">
        <f aca="true" t="shared" si="80" ref="AR41:AR54">AQ41+(0.02*AQ41^2-0.113*AQ41-0.7)</f>
        <v>-0.1587094489360379</v>
      </c>
      <c r="AV41" s="1" t="s">
        <v>105</v>
      </c>
      <c r="AX41" s="5">
        <f>$J30</f>
        <v>0</v>
      </c>
      <c r="AY41" s="5">
        <f>$J31</f>
        <v>0</v>
      </c>
      <c r="AZ41" s="5">
        <f>$J32</f>
        <v>0</v>
      </c>
      <c r="BA41" s="5">
        <f>$J33</f>
        <v>0</v>
      </c>
      <c r="BB41" s="31"/>
      <c r="BD41" s="23">
        <v>16</v>
      </c>
      <c r="BE41" s="23">
        <f t="shared" si="46"/>
        <v>108.32381232987588</v>
      </c>
      <c r="BF41" s="23">
        <f t="shared" si="41"/>
        <v>622.0374417807385</v>
      </c>
      <c r="BG41" s="23">
        <f t="shared" si="37"/>
        <v>7900.713366257447</v>
      </c>
      <c r="BH41" s="23">
        <f t="shared" si="35"/>
        <v>7177792.053160637</v>
      </c>
      <c r="BI41" s="23">
        <v>12</v>
      </c>
      <c r="BJ41" s="24"/>
      <c r="BK41" s="24"/>
      <c r="BL41" s="24"/>
      <c r="BM41" s="24"/>
      <c r="CA41" s="1">
        <v>16</v>
      </c>
      <c r="CB41" s="23">
        <f t="shared" si="42"/>
        <v>108.32381232987588</v>
      </c>
      <c r="CC41" s="23">
        <f t="shared" si="43"/>
        <v>622.0374417807385</v>
      </c>
      <c r="CD41" s="23">
        <f t="shared" si="44"/>
        <v>7900.713366257447</v>
      </c>
      <c r="CE41" s="23">
        <f t="shared" si="45"/>
        <v>7177792.053160637</v>
      </c>
    </row>
    <row r="42" spans="4:83" ht="15">
      <c r="D42" s="54" t="s">
        <v>140</v>
      </c>
      <c r="E42" s="6"/>
      <c r="F42" s="1">
        <v>0.65</v>
      </c>
      <c r="G42" s="1">
        <v>0.1</v>
      </c>
      <c r="H42" s="5">
        <v>2.5</v>
      </c>
      <c r="I42" s="5">
        <v>1</v>
      </c>
      <c r="J42" s="5">
        <v>0</v>
      </c>
      <c r="K42" s="23"/>
      <c r="L42" s="23"/>
      <c r="M42" s="23">
        <f t="shared" si="51"/>
        <v>8.07703</v>
      </c>
      <c r="N42" s="23">
        <f t="shared" si="52"/>
        <v>17.916761157069995</v>
      </c>
      <c r="O42" s="23">
        <f t="shared" si="53"/>
        <v>44.98946515706999</v>
      </c>
      <c r="P42" s="23">
        <f t="shared" si="54"/>
        <v>9.839731157069995</v>
      </c>
      <c r="Q42" s="26">
        <f t="shared" si="55"/>
        <v>50.30455513324733</v>
      </c>
      <c r="R42" s="5">
        <f t="shared" si="56"/>
        <v>1.457779173337645</v>
      </c>
      <c r="S42" s="23">
        <f t="shared" si="57"/>
        <v>17.916761157069995</v>
      </c>
      <c r="T42" s="5">
        <f t="shared" si="58"/>
        <v>0</v>
      </c>
      <c r="U42" s="5">
        <f t="shared" si="59"/>
        <v>1.457779173337645</v>
      </c>
      <c r="V42" s="5"/>
      <c r="W42" s="25">
        <f t="shared" si="60"/>
        <v>0.088395</v>
      </c>
      <c r="X42" s="25">
        <f t="shared" si="61"/>
        <v>0.0807703</v>
      </c>
      <c r="Y42" s="5">
        <f t="shared" si="62"/>
        <v>0.21522999999999998</v>
      </c>
      <c r="Z42" s="5">
        <f t="shared" si="63"/>
        <v>0.17916761157069996</v>
      </c>
      <c r="AA42" s="5">
        <f t="shared" si="64"/>
        <v>0.24314000000000002</v>
      </c>
      <c r="AB42" s="5">
        <f t="shared" si="65"/>
        <v>0.29077704000000004</v>
      </c>
      <c r="AC42" s="5">
        <f t="shared" si="66"/>
        <v>0.4699446515707</v>
      </c>
      <c r="AD42" s="5">
        <f t="shared" si="67"/>
        <v>-0.020050000000000012</v>
      </c>
      <c r="AE42" s="5">
        <f t="shared" si="68"/>
        <v>0.44989465157069997</v>
      </c>
      <c r="AF42" s="5">
        <f t="shared" si="69"/>
        <v>1.457779173337645</v>
      </c>
      <c r="AG42" s="25">
        <f t="shared" si="70"/>
        <v>1.457779173337645</v>
      </c>
      <c r="AH42" s="25">
        <f t="shared" si="71"/>
        <v>0.44989465157069997</v>
      </c>
      <c r="AI42" s="25">
        <f t="shared" si="72"/>
        <v>0</v>
      </c>
      <c r="AJ42" s="25">
        <f t="shared" si="50"/>
        <v>0.17916761157069996</v>
      </c>
      <c r="AK42" s="25">
        <f t="shared" si="73"/>
        <v>0.27072704000000003</v>
      </c>
      <c r="AL42" s="25">
        <f t="shared" si="74"/>
        <v>0.20874308807210615</v>
      </c>
      <c r="AM42" s="25">
        <f t="shared" si="75"/>
        <v>1</v>
      </c>
      <c r="AN42" s="26">
        <f t="shared" si="76"/>
        <v>50.30455513324733</v>
      </c>
      <c r="AO42" s="5">
        <f t="shared" si="77"/>
        <v>4.790577782650077</v>
      </c>
      <c r="AP42" s="25">
        <f t="shared" si="78"/>
        <v>0.008733644530973864</v>
      </c>
      <c r="AQ42" s="26">
        <f t="shared" si="79"/>
        <v>1.7399874806720064</v>
      </c>
      <c r="AR42" s="26">
        <f t="shared" si="80"/>
        <v>0.903920024013976</v>
      </c>
      <c r="AX42" s="5"/>
      <c r="AY42" s="5"/>
      <c r="BA42" s="31"/>
      <c r="BD42" s="23">
        <v>15</v>
      </c>
      <c r="BE42" s="23">
        <f t="shared" si="46"/>
        <v>124.80561810785443</v>
      </c>
      <c r="BF42" s="23">
        <f t="shared" si="41"/>
        <v>806.9780176395027</v>
      </c>
      <c r="BG42" s="23">
        <f t="shared" si="37"/>
        <v>12371.849867170644</v>
      </c>
      <c r="BH42" s="23"/>
      <c r="BI42" s="23">
        <f>BI41-2</f>
        <v>10</v>
      </c>
      <c r="BJ42" s="24"/>
      <c r="BK42" s="24"/>
      <c r="BL42" s="24"/>
      <c r="BM42" s="24"/>
      <c r="CA42" s="1">
        <v>15</v>
      </c>
      <c r="CB42" s="23">
        <f t="shared" si="42"/>
        <v>124.80561810785443</v>
      </c>
      <c r="CC42" s="23">
        <f t="shared" si="43"/>
        <v>806.9780176395027</v>
      </c>
      <c r="CD42" s="23">
        <f t="shared" si="44"/>
        <v>12371.849867170644</v>
      </c>
      <c r="CE42" s="23">
        <f t="shared" si="45"/>
        <v>15876686.160671214</v>
      </c>
    </row>
    <row r="43" spans="4:83" ht="15">
      <c r="D43" s="54" t="s">
        <v>141</v>
      </c>
      <c r="F43" s="1">
        <v>0.4</v>
      </c>
      <c r="G43" s="1">
        <v>0.2</v>
      </c>
      <c r="H43" s="5">
        <v>2.5</v>
      </c>
      <c r="I43" s="5">
        <v>1</v>
      </c>
      <c r="J43" s="5">
        <v>0</v>
      </c>
      <c r="K43" s="23"/>
      <c r="L43" s="23"/>
      <c r="M43" s="23">
        <f t="shared" si="51"/>
        <v>13.702360000000002</v>
      </c>
      <c r="N43" s="23">
        <f t="shared" si="52"/>
        <v>27.961016494079992</v>
      </c>
      <c r="O43" s="23">
        <f t="shared" si="53"/>
        <v>45.947824494079995</v>
      </c>
      <c r="P43" s="23">
        <f t="shared" si="54"/>
        <v>14.25865649407999</v>
      </c>
      <c r="Q43" s="26">
        <f t="shared" si="55"/>
        <v>15.47565639941927</v>
      </c>
      <c r="R43" s="5">
        <f t="shared" si="56"/>
        <v>1.4323826509068802</v>
      </c>
      <c r="S43" s="23">
        <f t="shared" si="57"/>
        <v>27.961016494079992</v>
      </c>
      <c r="T43" s="5">
        <f t="shared" si="58"/>
        <v>0</v>
      </c>
      <c r="U43" s="5">
        <f t="shared" si="59"/>
        <v>1.4323826509068802</v>
      </c>
      <c r="V43" s="5"/>
      <c r="W43" s="25">
        <f t="shared" si="60"/>
        <v>0.13774</v>
      </c>
      <c r="X43" s="25">
        <f t="shared" si="61"/>
        <v>0.13702360000000002</v>
      </c>
      <c r="Y43" s="5">
        <f t="shared" si="62"/>
        <v>0.29375999999999997</v>
      </c>
      <c r="Z43" s="5">
        <f t="shared" si="63"/>
        <v>0.27961016494079993</v>
      </c>
      <c r="AA43" s="5">
        <f t="shared" si="64"/>
        <v>0.17278</v>
      </c>
      <c r="AB43" s="5">
        <f t="shared" si="65"/>
        <v>0.17566808</v>
      </c>
      <c r="AC43" s="5">
        <f t="shared" si="66"/>
        <v>0.45527824494079994</v>
      </c>
      <c r="AD43" s="5">
        <f t="shared" si="67"/>
        <v>0.004199999999999995</v>
      </c>
      <c r="AE43" s="5">
        <f t="shared" si="68"/>
        <v>0.4594782449407999</v>
      </c>
      <c r="AF43" s="5">
        <f t="shared" si="69"/>
        <v>1.4323826509068802</v>
      </c>
      <c r="AG43" s="25">
        <f t="shared" si="70"/>
        <v>1.4323826509068802</v>
      </c>
      <c r="AH43" s="25">
        <f t="shared" si="71"/>
        <v>0.4594782449407999</v>
      </c>
      <c r="AI43" s="25">
        <f t="shared" si="72"/>
        <v>0</v>
      </c>
      <c r="AJ43" s="25">
        <f t="shared" si="50"/>
        <v>0.27961016494079993</v>
      </c>
      <c r="AK43" s="25">
        <f t="shared" si="73"/>
        <v>0.17986807999999999</v>
      </c>
      <c r="AL43" s="25">
        <f t="shared" si="74"/>
        <v>0.1868736852404029</v>
      </c>
      <c r="AM43" s="25">
        <f t="shared" si="75"/>
        <v>1</v>
      </c>
      <c r="AN43" s="26">
        <f t="shared" si="76"/>
        <v>15.47565639941927</v>
      </c>
      <c r="AO43" s="5">
        <f t="shared" si="77"/>
        <v>5.351208217002592</v>
      </c>
      <c r="AP43" s="25">
        <f t="shared" si="78"/>
        <v>0.036049858856557426</v>
      </c>
      <c r="AQ43" s="26">
        <f t="shared" si="79"/>
        <v>4.699638400176003</v>
      </c>
      <c r="AR43" s="26">
        <f t="shared" si="80"/>
        <v>3.9103112828042916</v>
      </c>
      <c r="AW43" s="5"/>
      <c r="AX43" s="5"/>
      <c r="BB43" s="5"/>
      <c r="BC43" s="5"/>
      <c r="BD43" s="23">
        <v>14</v>
      </c>
      <c r="BE43" s="23">
        <f t="shared" si="46"/>
        <v>145.20770955171378</v>
      </c>
      <c r="BF43" s="23">
        <f t="shared" si="41"/>
        <v>1065.8819023297606</v>
      </c>
      <c r="BG43" s="23"/>
      <c r="BH43" s="23"/>
      <c r="BI43" s="23">
        <f>BI42-2</f>
        <v>8</v>
      </c>
      <c r="BJ43" s="24"/>
      <c r="BK43" s="24"/>
      <c r="BL43" s="24"/>
      <c r="BM43" s="24"/>
      <c r="CA43" s="1">
        <v>14</v>
      </c>
      <c r="CB43" s="23">
        <f t="shared" si="42"/>
        <v>145.20770955171378</v>
      </c>
      <c r="CC43" s="23">
        <f t="shared" si="43"/>
        <v>1065.8819023297606</v>
      </c>
      <c r="CD43" s="23">
        <f t="shared" si="44"/>
        <v>19982.305290446577</v>
      </c>
      <c r="CE43" s="23"/>
    </row>
    <row r="44" spans="2:83" ht="15">
      <c r="B44" s="10"/>
      <c r="D44" s="54" t="s">
        <v>142</v>
      </c>
      <c r="F44" s="1">
        <v>0.2</v>
      </c>
      <c r="G44" s="1">
        <v>0.15</v>
      </c>
      <c r="H44" s="5">
        <v>2.5</v>
      </c>
      <c r="I44" s="5">
        <v>1</v>
      </c>
      <c r="J44" s="5">
        <v>0</v>
      </c>
      <c r="K44" s="23"/>
      <c r="L44" s="23"/>
      <c r="M44" s="23">
        <f t="shared" si="51"/>
        <v>10.986309999999998</v>
      </c>
      <c r="N44" s="23">
        <f t="shared" si="52"/>
        <v>30.518295340867496</v>
      </c>
      <c r="O44" s="23">
        <f t="shared" si="53"/>
        <v>47.87249334086749</v>
      </c>
      <c r="P44" s="23">
        <f t="shared" si="54"/>
        <v>19.5319853408675</v>
      </c>
      <c r="Q44" s="26">
        <f t="shared" si="55"/>
        <v>16.120216583734578</v>
      </c>
      <c r="R44" s="5">
        <f t="shared" si="56"/>
        <v>1.3813789264670113</v>
      </c>
      <c r="S44" s="23">
        <f t="shared" si="57"/>
        <v>30.518295340867496</v>
      </c>
      <c r="T44" s="5">
        <f t="shared" si="58"/>
        <v>0</v>
      </c>
      <c r="U44" s="5">
        <f t="shared" si="59"/>
        <v>1.3813789264670113</v>
      </c>
      <c r="V44" s="5"/>
      <c r="W44" s="25">
        <f t="shared" si="60"/>
        <v>0.11391499999999999</v>
      </c>
      <c r="X44" s="25">
        <f t="shared" si="61"/>
        <v>0.10986309999999998</v>
      </c>
      <c r="Y44" s="5">
        <f t="shared" si="62"/>
        <v>0.31198499999999996</v>
      </c>
      <c r="Z44" s="5">
        <f t="shared" si="63"/>
        <v>0.30518295340867496</v>
      </c>
      <c r="AA44" s="5">
        <f t="shared" si="64"/>
        <v>0.157055</v>
      </c>
      <c r="AB44" s="5">
        <f t="shared" si="65"/>
        <v>0.14994198</v>
      </c>
      <c r="AC44" s="5">
        <f t="shared" si="66"/>
        <v>0.455124933408675</v>
      </c>
      <c r="AD44" s="5">
        <f t="shared" si="67"/>
        <v>0.023599999999999996</v>
      </c>
      <c r="AE44" s="5">
        <f t="shared" si="68"/>
        <v>0.478724933408675</v>
      </c>
      <c r="AF44" s="5">
        <f t="shared" si="69"/>
        <v>1.3813789264670113</v>
      </c>
      <c r="AG44" s="25">
        <f t="shared" si="70"/>
        <v>1.3813789264670113</v>
      </c>
      <c r="AH44" s="25">
        <f t="shared" si="71"/>
        <v>0.47872493340867495</v>
      </c>
      <c r="AI44" s="25">
        <f t="shared" si="72"/>
        <v>0</v>
      </c>
      <c r="AJ44" s="25">
        <f t="shared" si="50"/>
        <v>0.30518295340867496</v>
      </c>
      <c r="AK44" s="25">
        <f t="shared" si="73"/>
        <v>0.17354197999999998</v>
      </c>
      <c r="AL44" s="25">
        <f t="shared" si="74"/>
        <v>0.2676849020197157</v>
      </c>
      <c r="AM44" s="25">
        <f t="shared" si="75"/>
        <v>1</v>
      </c>
      <c r="AN44" s="26">
        <f t="shared" si="76"/>
        <v>16.120216583734578</v>
      </c>
      <c r="AO44" s="5">
        <f t="shared" si="77"/>
        <v>3.7357355325417174</v>
      </c>
      <c r="AP44" s="25">
        <f t="shared" si="78"/>
        <v>0.3917125008751911</v>
      </c>
      <c r="AQ44" s="26">
        <f t="shared" si="79"/>
        <v>7.516195598734001</v>
      </c>
      <c r="AR44" s="26">
        <f t="shared" si="80"/>
        <v>7.096729421645626</v>
      </c>
      <c r="AW44" s="5"/>
      <c r="AX44" s="5"/>
      <c r="BD44" s="23">
        <v>13</v>
      </c>
      <c r="BE44" s="23">
        <f t="shared" si="46"/>
        <v>170.8520920479078</v>
      </c>
      <c r="BF44" s="23"/>
      <c r="BG44" s="23"/>
      <c r="BH44" s="23"/>
      <c r="CA44" s="1">
        <v>13</v>
      </c>
      <c r="CB44" s="23"/>
      <c r="CC44" s="23"/>
      <c r="CD44" s="23"/>
      <c r="CE44" s="23"/>
    </row>
    <row r="45" spans="4:83" ht="15">
      <c r="D45" s="54" t="s">
        <v>143</v>
      </c>
      <c r="F45" s="1">
        <v>0.1</v>
      </c>
      <c r="G45" s="1">
        <v>0.05</v>
      </c>
      <c r="H45" s="5">
        <v>2.5</v>
      </c>
      <c r="I45" s="5">
        <v>1</v>
      </c>
      <c r="J45" s="5">
        <v>0</v>
      </c>
      <c r="K45" s="23"/>
      <c r="L45" s="23"/>
      <c r="M45" s="23">
        <f t="shared" si="51"/>
        <v>5.742310000000001</v>
      </c>
      <c r="N45" s="23">
        <f t="shared" si="52"/>
        <v>30.454126413667503</v>
      </c>
      <c r="O45" s="23">
        <f t="shared" si="53"/>
        <v>47.903064413667494</v>
      </c>
      <c r="P45" s="23">
        <f t="shared" si="54"/>
        <v>24.711816413667503</v>
      </c>
      <c r="Q45" s="26">
        <f t="shared" si="55"/>
        <v>21.993883925397952</v>
      </c>
      <c r="R45" s="5">
        <f t="shared" si="56"/>
        <v>1.3805687930378112</v>
      </c>
      <c r="S45" s="23">
        <f t="shared" si="57"/>
        <v>30.454126413667503</v>
      </c>
      <c r="T45" s="5">
        <f t="shared" si="58"/>
        <v>0</v>
      </c>
      <c r="U45" s="5">
        <f t="shared" si="59"/>
        <v>1.3805687930378112</v>
      </c>
      <c r="V45" s="5"/>
      <c r="W45" s="25">
        <f t="shared" si="60"/>
        <v>0.067915</v>
      </c>
      <c r="X45" s="25">
        <f t="shared" si="61"/>
        <v>0.057423100000000005</v>
      </c>
      <c r="Y45" s="5">
        <f t="shared" si="62"/>
        <v>0.311535</v>
      </c>
      <c r="Z45" s="5">
        <f t="shared" si="63"/>
        <v>0.30454126413667504</v>
      </c>
      <c r="AA45" s="5">
        <f t="shared" si="64"/>
        <v>0.15170499999999998</v>
      </c>
      <c r="AB45" s="5">
        <f t="shared" si="65"/>
        <v>0.14118937999999998</v>
      </c>
      <c r="AC45" s="5">
        <f t="shared" si="66"/>
        <v>0.445730644136675</v>
      </c>
      <c r="AD45" s="5">
        <f t="shared" si="67"/>
        <v>0.033299999999999996</v>
      </c>
      <c r="AE45" s="5">
        <f t="shared" si="68"/>
        <v>0.479030644136675</v>
      </c>
      <c r="AF45" s="5">
        <f t="shared" si="69"/>
        <v>1.3805687930378112</v>
      </c>
      <c r="AG45" s="25">
        <f t="shared" si="70"/>
        <v>1.3805687930378112</v>
      </c>
      <c r="AH45" s="25">
        <f t="shared" si="71"/>
        <v>0.47903064413667495</v>
      </c>
      <c r="AI45" s="25">
        <f t="shared" si="72"/>
        <v>0</v>
      </c>
      <c r="AJ45" s="25">
        <f t="shared" si="50"/>
        <v>0.30454126413667504</v>
      </c>
      <c r="AK45" s="25">
        <f t="shared" si="73"/>
        <v>0.17448937999999992</v>
      </c>
      <c r="AL45" s="25">
        <f t="shared" si="74"/>
        <v>0.4371195862002352</v>
      </c>
      <c r="AM45" s="25">
        <f t="shared" si="75"/>
        <v>1</v>
      </c>
      <c r="AN45" s="26">
        <f t="shared" si="76"/>
        <v>21.993883925397952</v>
      </c>
      <c r="AO45" s="5">
        <f t="shared" si="77"/>
        <v>2.2877034833710725</v>
      </c>
      <c r="AP45" s="25">
        <f t="shared" si="78"/>
        <v>2.173949391752912</v>
      </c>
      <c r="AQ45" s="26">
        <f t="shared" si="79"/>
        <v>10.67682973988401</v>
      </c>
      <c r="AR45" s="26">
        <f t="shared" si="80"/>
        <v>11.05024184516655</v>
      </c>
      <c r="AT45" s="5"/>
      <c r="AW45" s="5"/>
      <c r="AX45" s="5"/>
      <c r="BA45" s="39"/>
      <c r="BB45" s="39"/>
      <c r="BD45" s="23">
        <v>12</v>
      </c>
      <c r="BE45" s="23"/>
      <c r="BF45" s="23"/>
      <c r="BG45" s="23"/>
      <c r="BH45" s="23"/>
      <c r="CA45" s="1">
        <v>12</v>
      </c>
      <c r="CB45" s="23"/>
      <c r="CC45" s="23"/>
      <c r="CD45" s="23"/>
      <c r="CE45" s="23"/>
    </row>
    <row r="46" spans="4:83" ht="15">
      <c r="D46" s="54" t="s">
        <v>144</v>
      </c>
      <c r="F46" s="1">
        <v>0.6</v>
      </c>
      <c r="G46" s="1">
        <v>0.25</v>
      </c>
      <c r="H46" s="5">
        <v>2.5</v>
      </c>
      <c r="I46" s="5">
        <v>1</v>
      </c>
      <c r="J46" s="5">
        <v>0</v>
      </c>
      <c r="K46" s="23"/>
      <c r="L46" s="23"/>
      <c r="M46" s="23">
        <f t="shared" si="51"/>
        <v>16.573450000000005</v>
      </c>
      <c r="N46" s="23">
        <f t="shared" si="52"/>
        <v>26.7045049991875</v>
      </c>
      <c r="O46" s="23">
        <f t="shared" si="53"/>
        <v>43.41307499918751</v>
      </c>
      <c r="P46" s="23">
        <f t="shared" si="54"/>
        <v>10.131054999187494</v>
      </c>
      <c r="Q46" s="26">
        <f t="shared" si="55"/>
        <v>11.25889492484162</v>
      </c>
      <c r="R46" s="5">
        <f t="shared" si="56"/>
        <v>1.4995535125215311</v>
      </c>
      <c r="S46" s="23">
        <f t="shared" si="57"/>
        <v>26.7045049991875</v>
      </c>
      <c r="T46" s="5">
        <f t="shared" si="58"/>
        <v>0</v>
      </c>
      <c r="U46" s="5">
        <f t="shared" si="59"/>
        <v>1.4995535125215311</v>
      </c>
      <c r="V46" s="5"/>
      <c r="W46" s="25">
        <f t="shared" si="60"/>
        <v>0.16292500000000001</v>
      </c>
      <c r="X46" s="25">
        <f t="shared" si="61"/>
        <v>0.16573450000000003</v>
      </c>
      <c r="Y46" s="5">
        <f t="shared" si="62"/>
        <v>0.284575</v>
      </c>
      <c r="Z46" s="5">
        <f t="shared" si="63"/>
        <v>0.267045049991875</v>
      </c>
      <c r="AA46" s="5">
        <f t="shared" si="64"/>
        <v>0.176825</v>
      </c>
      <c r="AB46" s="5">
        <f t="shared" si="65"/>
        <v>0.18228570000000002</v>
      </c>
      <c r="AC46" s="5">
        <f t="shared" si="66"/>
        <v>0.44933074999187506</v>
      </c>
      <c r="AD46" s="5">
        <f t="shared" si="67"/>
        <v>-0.015200000000000005</v>
      </c>
      <c r="AE46" s="5">
        <f t="shared" si="68"/>
        <v>0.43413074999187506</v>
      </c>
      <c r="AF46" s="5">
        <f t="shared" si="69"/>
        <v>1.4995535125215311</v>
      </c>
      <c r="AG46" s="25">
        <f t="shared" si="70"/>
        <v>1.4995535125215311</v>
      </c>
      <c r="AH46" s="25">
        <f t="shared" si="71"/>
        <v>0.43413074999187506</v>
      </c>
      <c r="AI46" s="25">
        <f t="shared" si="72"/>
        <v>0</v>
      </c>
      <c r="AJ46" s="25">
        <f t="shared" si="50"/>
        <v>0.267045049991875</v>
      </c>
      <c r="AK46" s="25">
        <f t="shared" si="73"/>
        <v>0.16708570000000006</v>
      </c>
      <c r="AL46" s="25">
        <f t="shared" si="74"/>
        <v>0.12498458284884444</v>
      </c>
      <c r="AM46" s="25">
        <f t="shared" si="75"/>
        <v>1</v>
      </c>
      <c r="AN46" s="26">
        <f t="shared" si="76"/>
        <v>11.25889492484162</v>
      </c>
      <c r="AO46" s="5">
        <f t="shared" si="77"/>
        <v>8.000986819385504</v>
      </c>
      <c r="AP46" s="25">
        <f t="shared" si="78"/>
        <v>0.0008523625106841932</v>
      </c>
      <c r="AQ46" s="26">
        <f t="shared" si="79"/>
        <v>3.060683183270008</v>
      </c>
      <c r="AR46" s="26">
        <f t="shared" si="80"/>
        <v>2.202181614527534</v>
      </c>
      <c r="AT46" s="5"/>
      <c r="AW46" s="5"/>
      <c r="AX46" s="5" t="s">
        <v>108</v>
      </c>
      <c r="BA46" s="39"/>
      <c r="BB46" s="39"/>
      <c r="BD46" s="23">
        <v>11</v>
      </c>
      <c r="BE46" s="23"/>
      <c r="BF46" s="23"/>
      <c r="BG46" s="23"/>
      <c r="BH46" s="23"/>
      <c r="CA46" s="1">
        <v>11</v>
      </c>
      <c r="CB46" s="23"/>
      <c r="CC46" s="23"/>
      <c r="CD46" s="23"/>
      <c r="CE46" s="23"/>
    </row>
    <row r="47" spans="4:83" ht="15">
      <c r="D47" s="54" t="s">
        <v>145</v>
      </c>
      <c r="F47" s="1">
        <v>0.3</v>
      </c>
      <c r="G47" s="1">
        <v>0.35</v>
      </c>
      <c r="H47" s="5">
        <v>2.5</v>
      </c>
      <c r="I47" s="5">
        <v>1</v>
      </c>
      <c r="J47" s="5">
        <v>0</v>
      </c>
      <c r="K47" s="23"/>
      <c r="L47" s="23"/>
      <c r="M47" s="23">
        <f t="shared" si="51"/>
        <v>21.79921</v>
      </c>
      <c r="N47" s="23">
        <f t="shared" si="52"/>
        <v>35.789791318667504</v>
      </c>
      <c r="O47" s="23">
        <f t="shared" si="53"/>
        <v>47.724069318667496</v>
      </c>
      <c r="P47" s="23">
        <f t="shared" si="54"/>
        <v>13.990581318667505</v>
      </c>
      <c r="Q47" s="26">
        <f t="shared" si="55"/>
        <v>4.3238383385703605</v>
      </c>
      <c r="R47" s="5">
        <f t="shared" si="56"/>
        <v>1.3853121630553114</v>
      </c>
      <c r="S47" s="23">
        <f t="shared" si="57"/>
        <v>35.789791318667504</v>
      </c>
      <c r="T47" s="5">
        <f t="shared" si="58"/>
        <v>0</v>
      </c>
      <c r="U47" s="5">
        <f t="shared" si="59"/>
        <v>1.3853121630553114</v>
      </c>
      <c r="V47" s="5"/>
      <c r="W47" s="25">
        <f t="shared" si="60"/>
        <v>0.20876499999999998</v>
      </c>
      <c r="X47" s="25">
        <f t="shared" si="61"/>
        <v>0.2179921</v>
      </c>
      <c r="Y47" s="5">
        <f t="shared" si="62"/>
        <v>0.347785</v>
      </c>
      <c r="Z47" s="5">
        <f t="shared" si="63"/>
        <v>0.357897913186675</v>
      </c>
      <c r="AA47" s="5">
        <f t="shared" si="64"/>
        <v>0.12985499999999997</v>
      </c>
      <c r="AB47" s="5">
        <f t="shared" si="65"/>
        <v>0.10544277999999996</v>
      </c>
      <c r="AC47" s="5">
        <f t="shared" si="66"/>
        <v>0.463340693186675</v>
      </c>
      <c r="AD47" s="5">
        <f t="shared" si="67"/>
        <v>0.013899999999999996</v>
      </c>
      <c r="AE47" s="5">
        <f t="shared" si="68"/>
        <v>0.47724069318667495</v>
      </c>
      <c r="AF47" s="5">
        <f t="shared" si="69"/>
        <v>1.3853121630553114</v>
      </c>
      <c r="AG47" s="25">
        <f t="shared" si="70"/>
        <v>1.3853121630553114</v>
      </c>
      <c r="AH47" s="25">
        <f t="shared" si="71"/>
        <v>0.47724069318667495</v>
      </c>
      <c r="AI47" s="25">
        <f t="shared" si="72"/>
        <v>0</v>
      </c>
      <c r="AJ47" s="25">
        <f t="shared" si="50"/>
        <v>0.357897913186675</v>
      </c>
      <c r="AK47" s="25">
        <f t="shared" si="73"/>
        <v>0.11934277999999993</v>
      </c>
      <c r="AL47" s="25">
        <f t="shared" si="74"/>
        <v>0.12989946744484457</v>
      </c>
      <c r="AM47" s="25">
        <f t="shared" si="75"/>
        <v>1</v>
      </c>
      <c r="AN47" s="26">
        <f t="shared" si="76"/>
        <v>4.3238383385703605</v>
      </c>
      <c r="AO47" s="5">
        <f t="shared" si="77"/>
        <v>7.698260968041312</v>
      </c>
      <c r="AP47" s="25">
        <f t="shared" si="78"/>
        <v>0.012112548978618746</v>
      </c>
      <c r="AQ47" s="26">
        <f t="shared" si="79"/>
        <v>5.467499122476006</v>
      </c>
      <c r="AR47" s="26">
        <f t="shared" si="80"/>
        <v>4.747542654721736</v>
      </c>
      <c r="AT47" s="5"/>
      <c r="BB47" s="39"/>
      <c r="BD47" s="23">
        <v>10</v>
      </c>
      <c r="BE47" s="23"/>
      <c r="BF47" s="23"/>
      <c r="BG47" s="23"/>
      <c r="BH47" s="23"/>
      <c r="CA47" s="1">
        <v>10</v>
      </c>
      <c r="CB47" s="23"/>
      <c r="CC47" s="23"/>
      <c r="CD47" s="23"/>
      <c r="CE47" s="23"/>
    </row>
    <row r="48" spans="4:83" ht="15">
      <c r="D48" s="54" t="s">
        <v>146</v>
      </c>
      <c r="F48" s="1">
        <v>0.1</v>
      </c>
      <c r="G48" s="1">
        <v>0.35</v>
      </c>
      <c r="H48" s="5">
        <v>2.5</v>
      </c>
      <c r="I48" s="5">
        <v>1</v>
      </c>
      <c r="J48" s="5">
        <v>0</v>
      </c>
      <c r="K48" s="23"/>
      <c r="L48" s="23"/>
      <c r="M48" s="23">
        <f t="shared" si="51"/>
        <v>21.51877</v>
      </c>
      <c r="N48" s="23">
        <f t="shared" si="52"/>
        <v>38.183510271907494</v>
      </c>
      <c r="O48" s="23">
        <f t="shared" si="53"/>
        <v>51.1219962719075</v>
      </c>
      <c r="P48" s="23">
        <f t="shared" si="54"/>
        <v>16.664740271907494</v>
      </c>
      <c r="Q48" s="26">
        <f t="shared" si="55"/>
        <v>5.683962093146491</v>
      </c>
      <c r="R48" s="5">
        <f t="shared" si="56"/>
        <v>1.2952670987944512</v>
      </c>
      <c r="S48" s="23">
        <f t="shared" si="57"/>
        <v>38.183510271907494</v>
      </c>
      <c r="T48" s="5">
        <f t="shared" si="58"/>
        <v>0</v>
      </c>
      <c r="U48" s="5">
        <f t="shared" si="59"/>
        <v>1.2952670987944512</v>
      </c>
      <c r="V48" s="5"/>
      <c r="W48" s="25">
        <f t="shared" si="60"/>
        <v>0.206305</v>
      </c>
      <c r="X48" s="25">
        <f t="shared" si="61"/>
        <v>0.2151877</v>
      </c>
      <c r="Y48" s="5">
        <f t="shared" si="62"/>
        <v>0.363345</v>
      </c>
      <c r="Z48" s="5">
        <f t="shared" si="63"/>
        <v>0.38183510271907495</v>
      </c>
      <c r="AA48" s="5">
        <f t="shared" si="64"/>
        <v>0.124135</v>
      </c>
      <c r="AB48" s="5">
        <f t="shared" si="65"/>
        <v>0.09608486</v>
      </c>
      <c r="AC48" s="5">
        <f t="shared" si="66"/>
        <v>0.47791996271907494</v>
      </c>
      <c r="AD48" s="5">
        <f t="shared" si="67"/>
        <v>0.033299999999999996</v>
      </c>
      <c r="AE48" s="5">
        <f t="shared" si="68"/>
        <v>0.511219962719075</v>
      </c>
      <c r="AF48" s="5">
        <f t="shared" si="69"/>
        <v>1.2952670987944512</v>
      </c>
      <c r="AG48" s="25">
        <f t="shared" si="70"/>
        <v>1.2952670987944512</v>
      </c>
      <c r="AH48" s="25">
        <f t="shared" si="71"/>
        <v>0.511219962719075</v>
      </c>
      <c r="AI48" s="25">
        <f t="shared" si="72"/>
        <v>0</v>
      </c>
      <c r="AJ48" s="25">
        <f t="shared" si="50"/>
        <v>0.38183510271907495</v>
      </c>
      <c r="AK48" s="25">
        <f t="shared" si="73"/>
        <v>0.12938486000000005</v>
      </c>
      <c r="AL48" s="25">
        <f t="shared" si="74"/>
        <v>0.15025447363131744</v>
      </c>
      <c r="AM48" s="25">
        <f t="shared" si="75"/>
        <v>1</v>
      </c>
      <c r="AN48" s="26">
        <f t="shared" si="76"/>
        <v>5.683962093146491</v>
      </c>
      <c r="AO48" s="5">
        <f t="shared" si="77"/>
        <v>6.65537588220981</v>
      </c>
      <c r="AP48" s="25">
        <f t="shared" si="78"/>
        <v>0.054417747950311825</v>
      </c>
      <c r="AQ48" s="26">
        <f t="shared" si="79"/>
        <v>6.398615474399996</v>
      </c>
      <c r="AR48" s="26">
        <f t="shared" si="80"/>
        <v>5.794417525577418</v>
      </c>
      <c r="AT48" s="5"/>
      <c r="AX48" s="40" t="s">
        <v>102</v>
      </c>
      <c r="AY48" s="40" t="s">
        <v>68</v>
      </c>
      <c r="AZ48" s="40" t="s">
        <v>106</v>
      </c>
      <c r="BA48" s="41" t="s">
        <v>109</v>
      </c>
      <c r="BB48" s="39"/>
      <c r="BD48" s="23">
        <v>9</v>
      </c>
      <c r="BE48" s="23"/>
      <c r="BF48" s="23"/>
      <c r="BG48" s="23"/>
      <c r="BH48" s="23"/>
      <c r="CA48" s="1">
        <v>9</v>
      </c>
      <c r="CB48" s="23"/>
      <c r="CC48" s="23"/>
      <c r="CD48" s="23"/>
      <c r="CE48" s="23"/>
    </row>
    <row r="49" spans="4:83" ht="15">
      <c r="D49" s="54" t="s">
        <v>147</v>
      </c>
      <c r="F49" s="1">
        <v>0.1</v>
      </c>
      <c r="G49" s="1">
        <v>0.45</v>
      </c>
      <c r="H49" s="5">
        <v>2.5</v>
      </c>
      <c r="I49" s="5">
        <v>1</v>
      </c>
      <c r="J49" s="5">
        <v>0</v>
      </c>
      <c r="K49" s="23"/>
      <c r="L49" s="23"/>
      <c r="M49" s="23">
        <f t="shared" si="51"/>
        <v>26.77759</v>
      </c>
      <c r="N49" s="23">
        <f t="shared" si="52"/>
        <v>40.9130349462675</v>
      </c>
      <c r="O49" s="23">
        <f t="shared" si="53"/>
        <v>52.348036946267506</v>
      </c>
      <c r="P49" s="23">
        <f t="shared" si="54"/>
        <v>14.135444946267501</v>
      </c>
      <c r="Q49" s="26">
        <f t="shared" si="55"/>
        <v>3.6716234931984655</v>
      </c>
      <c r="R49" s="5">
        <f t="shared" si="56"/>
        <v>1.262777020923911</v>
      </c>
      <c r="S49" s="23">
        <f t="shared" si="57"/>
        <v>40.9130349462675</v>
      </c>
      <c r="T49" s="5">
        <f t="shared" si="58"/>
        <v>0</v>
      </c>
      <c r="U49" s="5">
        <f t="shared" si="59"/>
        <v>1.262777020923911</v>
      </c>
      <c r="V49" s="5"/>
      <c r="W49" s="25">
        <f t="shared" si="60"/>
        <v>0.252435</v>
      </c>
      <c r="X49" s="25">
        <f t="shared" si="61"/>
        <v>0.2677759</v>
      </c>
      <c r="Y49" s="5">
        <f t="shared" si="62"/>
        <v>0.38061500000000004</v>
      </c>
      <c r="Z49" s="5">
        <f t="shared" si="63"/>
        <v>0.409130349462675</v>
      </c>
      <c r="AA49" s="5">
        <f t="shared" si="64"/>
        <v>0.11494499999999999</v>
      </c>
      <c r="AB49" s="5">
        <f t="shared" si="65"/>
        <v>0.08105001999999999</v>
      </c>
      <c r="AC49" s="5">
        <f t="shared" si="66"/>
        <v>0.490180369462675</v>
      </c>
      <c r="AD49" s="5">
        <f t="shared" si="67"/>
        <v>0.033299999999999996</v>
      </c>
      <c r="AE49" s="5">
        <f t="shared" si="68"/>
        <v>0.5234803694626751</v>
      </c>
      <c r="AF49" s="5">
        <f t="shared" si="69"/>
        <v>1.262777020923911</v>
      </c>
      <c r="AG49" s="25">
        <f t="shared" si="70"/>
        <v>1.262777020923911</v>
      </c>
      <c r="AH49" s="25">
        <f t="shared" si="71"/>
        <v>0.5234803694626751</v>
      </c>
      <c r="AI49" s="25">
        <f t="shared" si="72"/>
        <v>0</v>
      </c>
      <c r="AJ49" s="25">
        <f t="shared" si="50"/>
        <v>0.409130349462675</v>
      </c>
      <c r="AK49" s="25">
        <f t="shared" si="73"/>
        <v>0.11435002000000005</v>
      </c>
      <c r="AL49" s="25">
        <f t="shared" si="74"/>
        <v>0.11105980219130634</v>
      </c>
      <c r="AM49" s="25">
        <f t="shared" si="75"/>
        <v>1</v>
      </c>
      <c r="AN49" s="26">
        <f t="shared" si="76"/>
        <v>3.6716234931984655</v>
      </c>
      <c r="AO49" s="5">
        <f t="shared" si="77"/>
        <v>9.004157942560058</v>
      </c>
      <c r="AP49" s="25">
        <f t="shared" si="78"/>
        <v>0.010559791777710702</v>
      </c>
      <c r="AQ49" s="26">
        <f t="shared" si="79"/>
        <v>4.922664467387996</v>
      </c>
      <c r="AR49" s="26">
        <f t="shared" si="80"/>
        <v>4.151055891742839</v>
      </c>
      <c r="AT49" s="5"/>
      <c r="AW49" s="1" t="s">
        <v>110</v>
      </c>
      <c r="AX49" s="5">
        <v>0.65</v>
      </c>
      <c r="AY49" s="5">
        <v>0.10299277978339348</v>
      </c>
      <c r="AZ49" s="5">
        <v>2.5</v>
      </c>
      <c r="BA49" s="5">
        <v>1</v>
      </c>
      <c r="BB49" s="39"/>
      <c r="BD49" s="23">
        <v>8</v>
      </c>
      <c r="BE49" s="23"/>
      <c r="BF49" s="23"/>
      <c r="BG49" s="23"/>
      <c r="BH49" s="23"/>
      <c r="CA49" s="1">
        <v>8</v>
      </c>
      <c r="CB49" s="23"/>
      <c r="CC49" s="23"/>
      <c r="CD49" s="23"/>
      <c r="CE49" s="23"/>
    </row>
    <row r="50" spans="4:83" ht="15">
      <c r="D50" s="54" t="s">
        <v>148</v>
      </c>
      <c r="F50" s="1">
        <v>0.5</v>
      </c>
      <c r="G50" s="1">
        <v>0.4</v>
      </c>
      <c r="H50" s="5">
        <v>2.5</v>
      </c>
      <c r="I50" s="5">
        <v>1</v>
      </c>
      <c r="J50" s="5">
        <v>0</v>
      </c>
      <c r="K50" s="23"/>
      <c r="L50" s="23"/>
      <c r="M50" s="23">
        <f t="shared" si="51"/>
        <v>24.864099999999997</v>
      </c>
      <c r="N50" s="23">
        <f t="shared" si="52"/>
        <v>36.111510283</v>
      </c>
      <c r="O50" s="23">
        <f t="shared" si="53"/>
        <v>44.37899028300001</v>
      </c>
      <c r="P50" s="23">
        <f t="shared" si="54"/>
        <v>11.247410283000004</v>
      </c>
      <c r="Q50" s="26">
        <f t="shared" si="55"/>
        <v>1.3916587486499672</v>
      </c>
      <c r="R50" s="5">
        <f t="shared" si="56"/>
        <v>1.4739567575004997</v>
      </c>
      <c r="S50" s="23">
        <f t="shared" si="57"/>
        <v>36.111510283</v>
      </c>
      <c r="T50" s="5">
        <f t="shared" si="58"/>
        <v>0</v>
      </c>
      <c r="U50" s="5">
        <f t="shared" si="59"/>
        <v>1.4739567575004997</v>
      </c>
      <c r="V50" s="5"/>
      <c r="W50" s="25">
        <f t="shared" si="60"/>
        <v>0.23564999999999997</v>
      </c>
      <c r="X50" s="25">
        <f t="shared" si="61"/>
        <v>0.24864099999999997</v>
      </c>
      <c r="Y50" s="5">
        <f t="shared" si="62"/>
        <v>0.3499</v>
      </c>
      <c r="Z50" s="5">
        <f t="shared" si="63"/>
        <v>0.36111510283</v>
      </c>
      <c r="AA50" s="5">
        <f t="shared" si="64"/>
        <v>0.11930000000000002</v>
      </c>
      <c r="AB50" s="5">
        <f t="shared" si="65"/>
        <v>0.08817480000000003</v>
      </c>
      <c r="AC50" s="5">
        <f t="shared" si="66"/>
        <v>0.44928990283000003</v>
      </c>
      <c r="AD50" s="5">
        <f t="shared" si="67"/>
        <v>-0.005500000000000005</v>
      </c>
      <c r="AE50" s="5">
        <f t="shared" si="68"/>
        <v>0.44378990283</v>
      </c>
      <c r="AF50" s="5">
        <f t="shared" si="69"/>
        <v>1.4739567575004997</v>
      </c>
      <c r="AG50" s="25">
        <f t="shared" si="70"/>
        <v>1.4739567575004997</v>
      </c>
      <c r="AH50" s="25">
        <f t="shared" si="71"/>
        <v>0.4437899028300001</v>
      </c>
      <c r="AI50" s="25">
        <f t="shared" si="72"/>
        <v>0</v>
      </c>
      <c r="AJ50" s="25">
        <f t="shared" si="50"/>
        <v>0.36111510283</v>
      </c>
      <c r="AK50" s="25">
        <f t="shared" si="73"/>
        <v>0.0826748000000001</v>
      </c>
      <c r="AL50" s="25">
        <f t="shared" si="74"/>
        <v>0.09777698242361899</v>
      </c>
      <c r="AM50" s="25">
        <f t="shared" si="75"/>
        <v>1</v>
      </c>
      <c r="AN50" s="26">
        <f t="shared" si="76"/>
        <v>1.3916587486499672</v>
      </c>
      <c r="AO50" s="5">
        <f t="shared" si="77"/>
        <v>10.227355919693839</v>
      </c>
      <c r="AP50" s="25">
        <f t="shared" si="78"/>
        <v>0.0009871850785332368</v>
      </c>
      <c r="AQ50" s="26">
        <f t="shared" si="79"/>
        <v>4.398172411879997</v>
      </c>
      <c r="AR50" s="26">
        <f t="shared" si="80"/>
        <v>3.5880573406300043</v>
      </c>
      <c r="AT50" s="5"/>
      <c r="AW50" s="1" t="s">
        <v>111</v>
      </c>
      <c r="AX50" s="5">
        <v>0.2</v>
      </c>
      <c r="AY50" s="5">
        <v>0.2</v>
      </c>
      <c r="AZ50" s="5">
        <v>2.5</v>
      </c>
      <c r="BA50" s="5">
        <v>1</v>
      </c>
      <c r="BB50" s="39"/>
      <c r="BD50" s="23">
        <v>7</v>
      </c>
      <c r="BE50" s="23"/>
      <c r="CA50" s="1">
        <v>7</v>
      </c>
      <c r="CB50" s="23"/>
      <c r="CC50" s="23"/>
      <c r="CD50" s="23"/>
      <c r="CE50" s="23"/>
    </row>
    <row r="51" spans="4:54" ht="15">
      <c r="D51" s="54" t="s">
        <v>149</v>
      </c>
      <c r="F51" s="1">
        <v>0.25</v>
      </c>
      <c r="G51" s="1">
        <v>0.5</v>
      </c>
      <c r="H51" s="5">
        <v>2.5</v>
      </c>
      <c r="I51" s="5">
        <v>1</v>
      </c>
      <c r="J51" s="5">
        <v>0</v>
      </c>
      <c r="K51" s="23"/>
      <c r="L51" s="23"/>
      <c r="M51" s="23">
        <f t="shared" si="51"/>
        <v>29.791749999999993</v>
      </c>
      <c r="N51" s="23">
        <f t="shared" si="52"/>
        <v>42.06306301874999</v>
      </c>
      <c r="O51" s="23">
        <f t="shared" si="53"/>
        <v>49.84346301875</v>
      </c>
      <c r="P51" s="23">
        <f t="shared" si="54"/>
        <v>12.27131301875</v>
      </c>
      <c r="Q51" s="26">
        <f t="shared" si="55"/>
        <v>1.1449583141898936</v>
      </c>
      <c r="R51" s="5">
        <f t="shared" si="56"/>
        <v>1.329148230003125</v>
      </c>
      <c r="S51" s="23">
        <f t="shared" si="57"/>
        <v>42.06306301874999</v>
      </c>
      <c r="T51" s="5">
        <f t="shared" si="58"/>
        <v>0</v>
      </c>
      <c r="U51" s="5">
        <f t="shared" si="59"/>
        <v>1.329148230003125</v>
      </c>
      <c r="V51" s="5"/>
      <c r="W51" s="25">
        <f t="shared" si="60"/>
        <v>0.278875</v>
      </c>
      <c r="X51" s="25">
        <f t="shared" si="61"/>
        <v>0.29791749999999995</v>
      </c>
      <c r="Y51" s="5">
        <f t="shared" si="62"/>
        <v>0.38775</v>
      </c>
      <c r="Z51" s="5">
        <f t="shared" si="63"/>
        <v>0.42063063018749997</v>
      </c>
      <c r="AA51" s="5">
        <f t="shared" si="64"/>
        <v>0.1015</v>
      </c>
      <c r="AB51" s="5">
        <f t="shared" si="65"/>
        <v>0.05905400000000001</v>
      </c>
      <c r="AC51" s="5">
        <f t="shared" si="66"/>
        <v>0.47968463018749996</v>
      </c>
      <c r="AD51" s="5">
        <f t="shared" si="67"/>
        <v>0.018749999999999996</v>
      </c>
      <c r="AE51" s="5">
        <f t="shared" si="68"/>
        <v>0.49843463018749995</v>
      </c>
      <c r="AF51" s="5">
        <f t="shared" si="69"/>
        <v>1.329148230003125</v>
      </c>
      <c r="AG51" s="25">
        <f t="shared" si="70"/>
        <v>1.329148230003125</v>
      </c>
      <c r="AH51" s="25">
        <f t="shared" si="71"/>
        <v>0.4984346301875</v>
      </c>
      <c r="AI51" s="25">
        <f t="shared" si="72"/>
        <v>0</v>
      </c>
      <c r="AJ51" s="25">
        <f t="shared" si="50"/>
        <v>0.42063063018749997</v>
      </c>
      <c r="AK51" s="25">
        <f t="shared" si="73"/>
        <v>0.07780400000000004</v>
      </c>
      <c r="AL51" s="25">
        <f t="shared" si="74"/>
        <v>0.09037580211547262</v>
      </c>
      <c r="AM51" s="25">
        <f t="shared" si="75"/>
        <v>1</v>
      </c>
      <c r="AN51" s="26">
        <f t="shared" si="76"/>
        <v>1.1449583141898936</v>
      </c>
      <c r="AO51" s="5">
        <f t="shared" si="77"/>
        <v>11.06490870999193</v>
      </c>
      <c r="AP51" s="25">
        <f t="shared" si="78"/>
        <v>0.002275158585375033</v>
      </c>
      <c r="AQ51" s="26">
        <f t="shared" si="79"/>
        <v>4.860794859000002</v>
      </c>
      <c r="AR51" s="26">
        <f t="shared" si="80"/>
        <v>4.084071573158619</v>
      </c>
      <c r="AT51" s="5"/>
      <c r="AW51" s="1" t="s">
        <v>112</v>
      </c>
      <c r="AX51" s="5">
        <v>0.33</v>
      </c>
      <c r="AY51" s="5">
        <v>0.34</v>
      </c>
      <c r="AZ51" s="5">
        <v>2.5</v>
      </c>
      <c r="BA51" s="5">
        <v>1</v>
      </c>
      <c r="BB51" s="39"/>
    </row>
    <row r="52" spans="8:54" ht="15">
      <c r="H52" s="5"/>
      <c r="I52" s="5"/>
      <c r="J52" s="5"/>
      <c r="K52" s="23"/>
      <c r="L52" s="23"/>
      <c r="M52" s="23"/>
      <c r="N52" s="23"/>
      <c r="O52" s="23"/>
      <c r="P52" s="23"/>
      <c r="Q52" s="26"/>
      <c r="R52" s="5"/>
      <c r="S52" s="5"/>
      <c r="T52" s="5"/>
      <c r="U52" s="5"/>
      <c r="V52" s="5"/>
      <c r="W52" s="25"/>
      <c r="X52" s="25"/>
      <c r="Y52" s="5"/>
      <c r="Z52" s="5"/>
      <c r="AA52" s="5"/>
      <c r="AB52" s="5"/>
      <c r="AC52" s="5"/>
      <c r="AD52" s="5"/>
      <c r="AE52" s="5"/>
      <c r="AF52" s="5"/>
      <c r="AG52" s="25"/>
      <c r="AH52" s="25"/>
      <c r="AI52" s="25"/>
      <c r="AJ52" s="25"/>
      <c r="AK52" s="25"/>
      <c r="AL52" s="25"/>
      <c r="AM52" s="25"/>
      <c r="AN52" s="26"/>
      <c r="AO52" s="5"/>
      <c r="AP52" s="25"/>
      <c r="AQ52" s="26"/>
      <c r="AR52" s="26"/>
      <c r="AT52" s="5"/>
      <c r="AW52" s="1" t="s">
        <v>113</v>
      </c>
      <c r="AX52" s="5">
        <v>0.1</v>
      </c>
      <c r="AY52" s="5">
        <v>0.34</v>
      </c>
      <c r="AZ52" s="5">
        <v>2.5</v>
      </c>
      <c r="BA52" s="5">
        <v>1</v>
      </c>
      <c r="BB52" s="39"/>
    </row>
    <row r="53" spans="6:54" ht="15">
      <c r="F53" s="1">
        <v>0.1</v>
      </c>
      <c r="G53" s="1">
        <v>0.1</v>
      </c>
      <c r="H53" s="5">
        <v>1</v>
      </c>
      <c r="I53" s="5">
        <v>1</v>
      </c>
      <c r="J53" s="5">
        <v>1</v>
      </c>
      <c r="K53" s="23"/>
      <c r="L53" s="23"/>
      <c r="M53" s="25">
        <f>X53*100</f>
        <v>7.482519999999999</v>
      </c>
      <c r="N53" s="25">
        <f>AJ53*100</f>
        <v>29.784903140919994</v>
      </c>
      <c r="O53" s="25">
        <f>AH53*100</f>
        <v>42.18759914091999</v>
      </c>
      <c r="P53" s="25">
        <f>(N53-M53)*(1-T53)</f>
        <v>0</v>
      </c>
      <c r="Q53" s="25">
        <f>AN53</f>
        <v>0</v>
      </c>
      <c r="R53" s="25">
        <f>AG53</f>
        <v>1.5320286227656201</v>
      </c>
      <c r="S53" s="25">
        <f>N53-(S$37-33)*(O53-N53)/(33-AR53)</f>
        <v>29.784903140919994</v>
      </c>
      <c r="T53" s="25">
        <f>((R53/2.65)*J53)/(1-J53*(1-R53/2.65))</f>
        <v>1</v>
      </c>
      <c r="U53" s="5">
        <f>T53*2.65+(1-T53)*R53</f>
        <v>2.65</v>
      </c>
      <c r="V53" s="5"/>
      <c r="W53" s="25">
        <f>-0.024*F53+0.487*G53+0.006*H53+0.005*F53*H53-0.013*G53*H53+0.068*F53*G53+0.031</f>
        <v>0.08318</v>
      </c>
      <c r="X53" s="25">
        <f t="shared" si="61"/>
        <v>0.0748252</v>
      </c>
      <c r="Y53" s="5">
        <f>-0.251*F53+0.195*G53+0.011*H53+0.006*F53*H53-0.027*G53*H53+0.452*F53*G53+0.299</f>
        <v>0.30682</v>
      </c>
      <c r="Z53" s="5">
        <f t="shared" si="63"/>
        <v>0.29784903140919994</v>
      </c>
      <c r="AA53" s="5">
        <f>0.278*F53+0.034*G53+0.022*H53-0.018*F53*H53-0.027*G53*H53-0.584*F53*G53+0.078</f>
        <v>0.12086</v>
      </c>
      <c r="AB53" s="5">
        <f t="shared" si="65"/>
        <v>0.09072696</v>
      </c>
      <c r="AC53" s="5">
        <f>AB53+Z53</f>
        <v>0.38857599140919996</v>
      </c>
      <c r="AD53" s="5">
        <f>-0.097*F53+0.043</f>
        <v>0.033299999999999996</v>
      </c>
      <c r="AE53" s="5">
        <f>AC53+AD53</f>
        <v>0.42187599140919996</v>
      </c>
      <c r="AF53" s="5">
        <f t="shared" si="69"/>
        <v>1.5320286227656201</v>
      </c>
      <c r="AG53" s="25">
        <f>AF53*(I53)</f>
        <v>1.5320286227656201</v>
      </c>
      <c r="AH53" s="25">
        <f t="shared" si="71"/>
        <v>0.42187599140919996</v>
      </c>
      <c r="AI53" s="25">
        <f>(1-AG53/2.65)-(1-AF53/2.65)</f>
        <v>0</v>
      </c>
      <c r="AJ53" s="25">
        <f>Z53+0.2*AI53</f>
        <v>0.29784903140919994</v>
      </c>
      <c r="AK53" s="25">
        <f>AH53-AJ53</f>
        <v>0.12402696000000002</v>
      </c>
      <c r="AL53" s="25">
        <f>(LN(AJ53)-LN(X53))/(LN(1500)-LN(33))</f>
        <v>0.36194287823145505</v>
      </c>
      <c r="AM53" s="25">
        <f>(1-J53)/(1-J53*(1-1.5*(R53/2.65)))</f>
        <v>0</v>
      </c>
      <c r="AN53" s="26">
        <f>1930*(AK53)^(3-AL53)*AM53</f>
        <v>0</v>
      </c>
      <c r="AO53" s="5">
        <f>(LN(1500)-LN(33))/(LN(AJ53)-LN(X53))</f>
        <v>2.762866905646146</v>
      </c>
      <c r="AP53" s="25">
        <f>EXP(LN(33)+(AO53*LN(AJ53)))</f>
        <v>1.162078394686123</v>
      </c>
      <c r="AQ53" s="26">
        <f t="shared" si="79"/>
        <v>13.15875005684</v>
      </c>
      <c r="AR53" s="26">
        <f t="shared" si="80"/>
        <v>14.434865361584816</v>
      </c>
      <c r="AT53" s="5"/>
      <c r="AW53" s="40"/>
      <c r="AX53" s="40" t="s">
        <v>114</v>
      </c>
      <c r="AY53" s="40"/>
      <c r="AZ53" s="40"/>
      <c r="BA53" s="39"/>
      <c r="BB53" s="39"/>
    </row>
    <row r="54" spans="6:54" ht="15">
      <c r="F54" s="1">
        <v>0.1</v>
      </c>
      <c r="G54" s="1">
        <v>0.1</v>
      </c>
      <c r="H54" s="5">
        <v>1</v>
      </c>
      <c r="I54" s="5">
        <v>1</v>
      </c>
      <c r="J54" s="5">
        <v>1</v>
      </c>
      <c r="K54" s="23"/>
      <c r="L54" s="23"/>
      <c r="M54" s="25">
        <f>X54*100</f>
        <v>7.482519999999999</v>
      </c>
      <c r="N54" s="25">
        <f>AJ54*100</f>
        <v>29.784903140919994</v>
      </c>
      <c r="O54" s="25">
        <f>AH54*100</f>
        <v>42.18759914091999</v>
      </c>
      <c r="P54" s="25">
        <f>(N54-M54)*(1-T54)</f>
        <v>0</v>
      </c>
      <c r="Q54" s="25">
        <f>AN54</f>
        <v>0</v>
      </c>
      <c r="R54" s="25">
        <f>AG54</f>
        <v>1.5320286227656201</v>
      </c>
      <c r="S54" s="25">
        <f>N54-(S$37-33)*(O54-N54)/(33-AR54)</f>
        <v>29.784903140919994</v>
      </c>
      <c r="T54" s="25">
        <f>((R54/2.65)*J54)/(1-J54*(1-R54/2.65))</f>
        <v>1</v>
      </c>
      <c r="U54" s="5">
        <f>T54*2.65+(1-T54)*R54</f>
        <v>2.65</v>
      </c>
      <c r="V54" s="5"/>
      <c r="W54" s="25">
        <f>-0.024*F54+0.487*G54+0.006*H54+0.005*F54*H54-0.013*G54*H54+0.068*F54*G54+0.031</f>
        <v>0.08318</v>
      </c>
      <c r="X54" s="25">
        <f t="shared" si="61"/>
        <v>0.0748252</v>
      </c>
      <c r="Y54" s="5">
        <f>-0.251*F54+0.195*G54+0.011*H54+0.006*F54*H54-0.027*G54*H54+0.452*F54*G54+0.299</f>
        <v>0.30682</v>
      </c>
      <c r="Z54" s="5">
        <f t="shared" si="63"/>
        <v>0.29784903140919994</v>
      </c>
      <c r="AA54" s="5">
        <f>0.278*F54+0.034*G54+0.022*H54-0.018*F54*H54-0.027*G54*H54-0.584*F54*G54+0.078</f>
        <v>0.12086</v>
      </c>
      <c r="AB54" s="5">
        <f t="shared" si="65"/>
        <v>0.09072696</v>
      </c>
      <c r="AC54" s="5">
        <f>AB54+Z54</f>
        <v>0.38857599140919996</v>
      </c>
      <c r="AD54" s="5">
        <f>-0.097*F54+0.043</f>
        <v>0.033299999999999996</v>
      </c>
      <c r="AE54" s="5">
        <f>AC54+AD54</f>
        <v>0.42187599140919996</v>
      </c>
      <c r="AF54" s="5">
        <f t="shared" si="69"/>
        <v>1.5320286227656201</v>
      </c>
      <c r="AG54" s="25">
        <f>AF54*(I54)</f>
        <v>1.5320286227656201</v>
      </c>
      <c r="AH54" s="25">
        <f t="shared" si="71"/>
        <v>0.42187599140919996</v>
      </c>
      <c r="AI54" s="25">
        <f>(1-AG54/2.65)-(1-AF54/2.65)</f>
        <v>0</v>
      </c>
      <c r="AJ54" s="25">
        <f>Z54+0.2*AI54</f>
        <v>0.29784903140919994</v>
      </c>
      <c r="AK54" s="25">
        <f>AH54-AJ54</f>
        <v>0.12402696000000002</v>
      </c>
      <c r="AL54" s="25">
        <f>(LN(AJ54)-LN(X54))/(LN(1500)-LN(33))</f>
        <v>0.36194287823145505</v>
      </c>
      <c r="AM54" s="25">
        <f>(1-J54)/(1-J54*(1-1.5*(R54/2.65)))</f>
        <v>0</v>
      </c>
      <c r="AN54" s="26">
        <f>1930*(AK54)^(3-AL54)*AM54</f>
        <v>0</v>
      </c>
      <c r="AO54" s="5">
        <f>(LN(1500)-LN(33))/(LN(AJ54)-LN(X54))</f>
        <v>2.762866905646146</v>
      </c>
      <c r="AP54" s="25">
        <f>EXP(LN(33)+(AO54*LN(AJ54)))</f>
        <v>1.162078394686123</v>
      </c>
      <c r="AQ54" s="26">
        <f t="shared" si="79"/>
        <v>13.15875005684</v>
      </c>
      <c r="AR54" s="26">
        <f t="shared" si="80"/>
        <v>14.434865361584816</v>
      </c>
      <c r="AT54" s="5"/>
      <c r="AW54" s="40" t="s">
        <v>99</v>
      </c>
      <c r="AX54" s="40" t="s">
        <v>100</v>
      </c>
      <c r="AY54" s="40" t="s">
        <v>106</v>
      </c>
      <c r="AZ54" s="40" t="s">
        <v>109</v>
      </c>
      <c r="BA54" s="39"/>
      <c r="BB54" s="39"/>
    </row>
    <row r="55" spans="8:54" ht="15">
      <c r="H55" s="5"/>
      <c r="I55" s="5"/>
      <c r="J55" s="5"/>
      <c r="K55" s="23"/>
      <c r="L55" s="23"/>
      <c r="M55" s="23"/>
      <c r="N55" s="23"/>
      <c r="O55" s="23"/>
      <c r="P55" s="23"/>
      <c r="Q55" s="26"/>
      <c r="R55" s="5"/>
      <c r="S55" s="5"/>
      <c r="T55" s="5"/>
      <c r="U55" s="5"/>
      <c r="V55" s="5"/>
      <c r="W55" s="25"/>
      <c r="X55" s="25"/>
      <c r="Y55" s="5"/>
      <c r="Z55" s="5"/>
      <c r="AA55" s="5"/>
      <c r="AB55" s="5"/>
      <c r="AC55" s="5"/>
      <c r="AD55" s="5"/>
      <c r="AE55" s="5"/>
      <c r="AF55" s="5"/>
      <c r="AG55" s="25"/>
      <c r="AH55" s="25"/>
      <c r="AI55" s="25"/>
      <c r="AJ55" s="25"/>
      <c r="AK55" s="25"/>
      <c r="AL55" s="25"/>
      <c r="AM55" s="25"/>
      <c r="AN55" s="26"/>
      <c r="AO55" s="5"/>
      <c r="AP55" s="25"/>
      <c r="AQ55" s="26"/>
      <c r="AR55" s="26"/>
      <c r="AT55" s="5"/>
      <c r="AW55" s="5">
        <v>0.2</v>
      </c>
      <c r="AX55" s="5">
        <v>0.2</v>
      </c>
      <c r="AY55" s="5">
        <v>0.5</v>
      </c>
      <c r="AZ55" s="5">
        <v>1</v>
      </c>
      <c r="BA55" s="39"/>
      <c r="BB55" s="39"/>
    </row>
    <row r="56" spans="8:54" ht="15">
      <c r="H56" s="5"/>
      <c r="I56" s="5"/>
      <c r="J56" s="5"/>
      <c r="K56" s="23"/>
      <c r="L56" s="23"/>
      <c r="M56" s="23"/>
      <c r="N56" s="25"/>
      <c r="O56" s="25"/>
      <c r="P56" s="23"/>
      <c r="Q56" s="26"/>
      <c r="R56" s="5"/>
      <c r="S56" s="5"/>
      <c r="T56" s="5"/>
      <c r="U56" s="5"/>
      <c r="V56" s="5"/>
      <c r="W56" s="25"/>
      <c r="X56" s="25"/>
      <c r="Y56" s="5"/>
      <c r="Z56" s="5"/>
      <c r="AA56" s="5"/>
      <c r="AB56" s="5"/>
      <c r="AC56" s="5"/>
      <c r="AD56" s="5"/>
      <c r="AE56" s="5"/>
      <c r="AF56" s="5"/>
      <c r="AG56" s="25"/>
      <c r="AH56" s="25"/>
      <c r="AI56" s="25"/>
      <c r="AJ56" s="25"/>
      <c r="AK56" s="25"/>
      <c r="AL56" s="25"/>
      <c r="AM56" s="25"/>
      <c r="AN56" s="26"/>
      <c r="AO56" s="5"/>
      <c r="AP56" s="25"/>
      <c r="AQ56" s="26"/>
      <c r="AR56" s="26"/>
      <c r="AT56" s="5"/>
      <c r="AW56" s="5">
        <v>0.2</v>
      </c>
      <c r="AX56" s="5">
        <v>0.2</v>
      </c>
      <c r="AY56" s="5">
        <v>2.5</v>
      </c>
      <c r="AZ56" s="5">
        <v>1</v>
      </c>
      <c r="BA56" s="39"/>
      <c r="BB56" s="39"/>
    </row>
    <row r="57" spans="8:54" ht="15">
      <c r="H57" s="5"/>
      <c r="I57" s="5"/>
      <c r="J57" s="5"/>
      <c r="K57" s="23"/>
      <c r="L57" s="23"/>
      <c r="M57" s="23"/>
      <c r="N57" s="23"/>
      <c r="O57" s="5"/>
      <c r="P57" s="23"/>
      <c r="Q57" s="26"/>
      <c r="R57" s="5"/>
      <c r="S57" s="5"/>
      <c r="T57" s="5"/>
      <c r="U57" s="5"/>
      <c r="V57" s="5"/>
      <c r="W57" s="25"/>
      <c r="X57" s="25"/>
      <c r="Y57" s="5"/>
      <c r="Z57" s="5"/>
      <c r="AA57" s="5"/>
      <c r="AB57" s="5"/>
      <c r="AC57" s="5"/>
      <c r="AD57" s="5"/>
      <c r="AE57" s="5"/>
      <c r="AF57" s="5"/>
      <c r="AG57" s="25"/>
      <c r="AH57" s="25"/>
      <c r="AI57" s="25"/>
      <c r="AJ57" s="25"/>
      <c r="AK57" s="25"/>
      <c r="AL57" s="25"/>
      <c r="AM57" s="25"/>
      <c r="AN57" s="26"/>
      <c r="AO57" s="5"/>
      <c r="AP57" s="25"/>
      <c r="AQ57" s="26"/>
      <c r="AR57" s="26"/>
      <c r="AT57" s="5"/>
      <c r="AW57" s="5">
        <v>0.2</v>
      </c>
      <c r="AX57" s="5">
        <v>0.2</v>
      </c>
      <c r="AY57" s="5">
        <v>5</v>
      </c>
      <c r="AZ57" s="5">
        <v>1</v>
      </c>
      <c r="BA57" s="39"/>
      <c r="BB57" s="39"/>
    </row>
    <row r="58" spans="8:54" ht="15">
      <c r="H58" s="5"/>
      <c r="I58" s="5"/>
      <c r="J58" s="5"/>
      <c r="K58" s="23"/>
      <c r="L58" s="23"/>
      <c r="M58" s="23"/>
      <c r="N58" s="23"/>
      <c r="O58" s="23"/>
      <c r="P58" s="23"/>
      <c r="Q58" s="26"/>
      <c r="R58" s="5"/>
      <c r="S58" s="5"/>
      <c r="T58" s="5"/>
      <c r="U58" s="5"/>
      <c r="V58" s="5"/>
      <c r="W58" s="25"/>
      <c r="X58" s="25"/>
      <c r="Y58" s="5"/>
      <c r="Z58" s="5"/>
      <c r="AA58" s="5"/>
      <c r="AB58" s="5"/>
      <c r="AC58" s="5"/>
      <c r="AD58" s="5"/>
      <c r="AE58" s="5"/>
      <c r="AF58" s="5"/>
      <c r="AG58" s="25"/>
      <c r="AH58" s="25"/>
      <c r="AI58" s="25"/>
      <c r="AJ58" s="25"/>
      <c r="AK58" s="25"/>
      <c r="AL58" s="25"/>
      <c r="AM58" s="25"/>
      <c r="AN58" s="26"/>
      <c r="AO58" s="5"/>
      <c r="AP58" s="25"/>
      <c r="AQ58" s="26"/>
      <c r="AR58" s="26"/>
      <c r="AT58" s="5"/>
      <c r="AW58" s="5">
        <v>0.2</v>
      </c>
      <c r="AX58" s="5">
        <v>0.2</v>
      </c>
      <c r="AY58" s="5">
        <v>7.5</v>
      </c>
      <c r="AZ58" s="5">
        <v>1</v>
      </c>
      <c r="BA58" s="39"/>
      <c r="BB58" s="39"/>
    </row>
    <row r="59" spans="8:54" ht="15">
      <c r="H59" s="5"/>
      <c r="I59" s="5"/>
      <c r="J59" s="5"/>
      <c r="K59" s="23"/>
      <c r="L59" s="23"/>
      <c r="M59" s="23"/>
      <c r="N59" s="23"/>
      <c r="O59" s="23"/>
      <c r="P59" s="23"/>
      <c r="Q59" s="26"/>
      <c r="R59" s="5"/>
      <c r="S59" s="5"/>
      <c r="T59" s="5"/>
      <c r="U59" s="5"/>
      <c r="V59" s="5"/>
      <c r="W59" s="25"/>
      <c r="X59" s="25"/>
      <c r="Y59" s="5"/>
      <c r="Z59" s="5"/>
      <c r="AA59" s="5"/>
      <c r="AB59" s="5"/>
      <c r="AC59" s="5"/>
      <c r="AD59" s="5"/>
      <c r="AE59" s="5"/>
      <c r="AF59" s="5"/>
      <c r="AG59" s="25"/>
      <c r="AH59" s="25"/>
      <c r="AI59" s="25"/>
      <c r="AJ59" s="25"/>
      <c r="AK59" s="25"/>
      <c r="AL59" s="25"/>
      <c r="AM59" s="25"/>
      <c r="AN59" s="26"/>
      <c r="AO59" s="5"/>
      <c r="AP59" s="25"/>
      <c r="AQ59" s="26"/>
      <c r="AR59" s="26"/>
      <c r="AT59" s="5"/>
      <c r="BB59" s="39"/>
    </row>
    <row r="60" spans="8:53" ht="15">
      <c r="H60" s="5"/>
      <c r="I60" s="5"/>
      <c r="J60" s="5"/>
      <c r="K60" s="23"/>
      <c r="L60" s="23"/>
      <c r="M60" s="23"/>
      <c r="N60" s="23"/>
      <c r="O60" s="23"/>
      <c r="P60" s="23"/>
      <c r="Q60" s="26"/>
      <c r="R60" s="5"/>
      <c r="S60" s="5"/>
      <c r="T60" s="5"/>
      <c r="U60" s="5"/>
      <c r="V60" s="5"/>
      <c r="W60" s="25"/>
      <c r="X60" s="25"/>
      <c r="Y60" s="5"/>
      <c r="Z60" s="5"/>
      <c r="AA60" s="5"/>
      <c r="AB60" s="5"/>
      <c r="AC60" s="5"/>
      <c r="AD60" s="5"/>
      <c r="AE60" s="5"/>
      <c r="AF60" s="5"/>
      <c r="AG60" s="25"/>
      <c r="AH60" s="25"/>
      <c r="AI60" s="25"/>
      <c r="AJ60" s="25"/>
      <c r="AK60" s="25"/>
      <c r="AL60" s="25"/>
      <c r="AM60" s="25"/>
      <c r="AN60" s="26"/>
      <c r="AO60" s="5"/>
      <c r="AP60" s="25"/>
      <c r="AQ60" s="26"/>
      <c r="AR60" s="26"/>
      <c r="AT60" s="5"/>
      <c r="AV60" s="1" t="s">
        <v>115</v>
      </c>
      <c r="AX60" s="5">
        <v>0.5</v>
      </c>
      <c r="AY60" s="5">
        <v>2.5</v>
      </c>
      <c r="AZ60" s="5">
        <v>5</v>
      </c>
      <c r="BA60" s="5">
        <v>7.5</v>
      </c>
    </row>
    <row r="61" spans="8:46" ht="15">
      <c r="H61" s="5"/>
      <c r="I61" s="5"/>
      <c r="J61" s="5"/>
      <c r="K61" s="23"/>
      <c r="L61" s="23"/>
      <c r="M61" s="23"/>
      <c r="N61" s="23"/>
      <c r="O61" s="23"/>
      <c r="P61" s="23"/>
      <c r="Q61" s="26"/>
      <c r="R61" s="5"/>
      <c r="S61" s="5"/>
      <c r="T61" s="5"/>
      <c r="U61" s="5"/>
      <c r="V61" s="5"/>
      <c r="W61" s="25"/>
      <c r="X61" s="25"/>
      <c r="Y61" s="5"/>
      <c r="Z61" s="5"/>
      <c r="AA61" s="5"/>
      <c r="AB61" s="5"/>
      <c r="AC61" s="5"/>
      <c r="AD61" s="5"/>
      <c r="AE61" s="5"/>
      <c r="AF61" s="5"/>
      <c r="AG61" s="25"/>
      <c r="AH61" s="25"/>
      <c r="AI61" s="25"/>
      <c r="AJ61" s="25"/>
      <c r="AK61" s="25"/>
      <c r="AL61" s="25"/>
      <c r="AM61" s="25"/>
      <c r="AN61" s="26"/>
      <c r="AO61" s="5"/>
      <c r="AP61" s="25"/>
      <c r="AQ61" s="26"/>
      <c r="AR61" s="26"/>
      <c r="AT61" s="5"/>
    </row>
    <row r="62" spans="8:53" ht="15">
      <c r="H62" s="5"/>
      <c r="I62" s="5"/>
      <c r="J62" s="5"/>
      <c r="K62" s="23"/>
      <c r="L62" s="23"/>
      <c r="M62" s="23"/>
      <c r="N62" s="23"/>
      <c r="O62" s="23"/>
      <c r="P62" s="23"/>
      <c r="Q62" s="26"/>
      <c r="R62" s="5"/>
      <c r="S62" s="5"/>
      <c r="T62" s="5"/>
      <c r="U62" s="5"/>
      <c r="V62" s="5"/>
      <c r="W62" s="25"/>
      <c r="X62" s="25"/>
      <c r="Y62" s="5"/>
      <c r="Z62" s="5"/>
      <c r="AA62" s="5"/>
      <c r="AB62" s="5"/>
      <c r="AC62" s="5"/>
      <c r="AD62" s="5"/>
      <c r="AE62" s="5"/>
      <c r="AF62" s="5"/>
      <c r="AG62" s="25"/>
      <c r="AH62" s="25"/>
      <c r="AI62" s="25"/>
      <c r="AJ62" s="25"/>
      <c r="AK62" s="25"/>
      <c r="AL62" s="25"/>
      <c r="AM62" s="25"/>
      <c r="AN62" s="26"/>
      <c r="AO62" s="5"/>
      <c r="AP62" s="25"/>
      <c r="AQ62" s="26"/>
      <c r="AR62" s="26"/>
      <c r="AT62" s="5"/>
      <c r="AV62" s="5" t="s">
        <v>25</v>
      </c>
      <c r="AW62" s="5"/>
      <c r="AX62" s="5">
        <v>0.12852000000000002</v>
      </c>
      <c r="AY62" s="5">
        <v>0.13732</v>
      </c>
      <c r="AZ62" s="5">
        <v>0.14832</v>
      </c>
      <c r="BA62" s="5">
        <v>0.15932000000000002</v>
      </c>
    </row>
    <row r="63" spans="8:53" ht="15">
      <c r="H63" s="5"/>
      <c r="I63" s="5"/>
      <c r="J63" s="5"/>
      <c r="K63" s="23"/>
      <c r="L63" s="23"/>
      <c r="M63" s="23"/>
      <c r="N63" s="23"/>
      <c r="O63" s="23"/>
      <c r="P63" s="23"/>
      <c r="Q63" s="26"/>
      <c r="R63" s="5"/>
      <c r="S63" s="5"/>
      <c r="T63" s="5"/>
      <c r="U63" s="5"/>
      <c r="V63" s="5"/>
      <c r="W63" s="25"/>
      <c r="X63" s="25"/>
      <c r="Y63" s="5"/>
      <c r="Z63" s="5"/>
      <c r="AA63" s="5"/>
      <c r="AB63" s="5"/>
      <c r="AC63" s="5"/>
      <c r="AD63" s="5"/>
      <c r="AE63" s="5"/>
      <c r="AF63" s="5"/>
      <c r="AG63" s="25"/>
      <c r="AH63" s="25"/>
      <c r="AI63" s="25"/>
      <c r="AJ63" s="25"/>
      <c r="AK63" s="25"/>
      <c r="AL63" s="25"/>
      <c r="AM63" s="25"/>
      <c r="AN63" s="26"/>
      <c r="AO63" s="5"/>
      <c r="AP63" s="25"/>
      <c r="AQ63" s="26"/>
      <c r="AR63" s="26"/>
      <c r="AT63" s="5"/>
      <c r="AV63" s="5" t="s">
        <v>26</v>
      </c>
      <c r="AW63" s="5"/>
      <c r="AX63" s="5">
        <v>0.3013335139072</v>
      </c>
      <c r="AY63" s="5">
        <v>0.3208775473152</v>
      </c>
      <c r="AZ63" s="5">
        <v>0.3459750056751999</v>
      </c>
      <c r="BA63" s="5">
        <v>0.37181403803519997</v>
      </c>
    </row>
    <row r="64" spans="6:53" ht="15">
      <c r="F64" s="5"/>
      <c r="G64" s="5"/>
      <c r="H64" s="5"/>
      <c r="I64" s="5"/>
      <c r="J64" s="5"/>
      <c r="K64" s="5"/>
      <c r="M64" s="23"/>
      <c r="N64" s="23"/>
      <c r="O64" s="23"/>
      <c r="P64" s="23"/>
      <c r="Q64" s="26"/>
      <c r="R64" s="5"/>
      <c r="S64" s="5"/>
      <c r="T64" s="5"/>
      <c r="U64" s="5"/>
      <c r="V64" s="5"/>
      <c r="W64" s="25"/>
      <c r="X64" s="25"/>
      <c r="Y64" s="5"/>
      <c r="Z64" s="5"/>
      <c r="AA64" s="5"/>
      <c r="AB64" s="5"/>
      <c r="AC64" s="5"/>
      <c r="AD64" s="5"/>
      <c r="AE64" s="5"/>
      <c r="AF64" s="5"/>
      <c r="AG64" s="25"/>
      <c r="AH64" s="25"/>
      <c r="AI64" s="25"/>
      <c r="AJ64" s="25"/>
      <c r="AK64" s="25"/>
      <c r="AL64" s="25"/>
      <c r="AM64" s="25"/>
      <c r="AN64" s="26"/>
      <c r="AO64" s="5"/>
      <c r="AP64" s="25"/>
      <c r="AQ64" s="26"/>
      <c r="AR64" s="26"/>
      <c r="AT64" s="5"/>
      <c r="AV64" s="5" t="s">
        <v>85</v>
      </c>
      <c r="AW64" s="5"/>
      <c r="AX64" s="5">
        <v>0.4200449539072</v>
      </c>
      <c r="AY64" s="5">
        <v>0.48212498731520004</v>
      </c>
      <c r="AZ64" s="5">
        <v>0.5603924456751999</v>
      </c>
      <c r="BA64" s="5">
        <v>0.6394014780351999</v>
      </c>
    </row>
    <row r="65" spans="1:53" ht="15">
      <c r="A65" s="23"/>
      <c r="B65" s="5"/>
      <c r="C65" s="23"/>
      <c r="F65" s="5"/>
      <c r="G65" s="5"/>
      <c r="K65" s="42"/>
      <c r="L65" s="42"/>
      <c r="M65" s="23"/>
      <c r="N65" s="23"/>
      <c r="O65" s="23"/>
      <c r="P65" s="23"/>
      <c r="Q65" s="26"/>
      <c r="R65" s="5"/>
      <c r="S65" s="5"/>
      <c r="T65" s="5"/>
      <c r="U65" s="5"/>
      <c r="V65" s="5"/>
      <c r="W65" s="25"/>
      <c r="X65" s="25"/>
      <c r="Y65" s="5"/>
      <c r="Z65" s="5"/>
      <c r="AA65" s="5"/>
      <c r="AB65" s="5"/>
      <c r="AC65" s="5"/>
      <c r="AD65" s="5"/>
      <c r="AE65" s="5"/>
      <c r="AF65" s="5"/>
      <c r="AG65" s="25"/>
      <c r="AH65" s="25"/>
      <c r="AI65" s="25"/>
      <c r="AJ65" s="25"/>
      <c r="AK65" s="25"/>
      <c r="AL65" s="25"/>
      <c r="AM65" s="25"/>
      <c r="AN65" s="26"/>
      <c r="AO65" s="5"/>
      <c r="AP65" s="25"/>
      <c r="AQ65" s="26"/>
      <c r="AR65" s="26"/>
      <c r="AT65" s="5"/>
      <c r="AV65" s="5" t="s">
        <v>86</v>
      </c>
      <c r="AW65" s="5"/>
      <c r="AX65" s="5">
        <v>0.1531659417203421</v>
      </c>
      <c r="AY65" s="5">
        <v>0.1988739250668552</v>
      </c>
      <c r="AZ65" s="5">
        <v>0.27628965250504267</v>
      </c>
      <c r="BA65" s="5">
        <v>0.38320402041341184</v>
      </c>
    </row>
    <row r="66" spans="1:53" ht="15">
      <c r="A66" s="23"/>
      <c r="B66" s="5"/>
      <c r="C66" s="23"/>
      <c r="E66" s="5"/>
      <c r="F66" s="5"/>
      <c r="G66" s="5"/>
      <c r="K66" s="42"/>
      <c r="L66" s="42"/>
      <c r="M66" s="23"/>
      <c r="N66" s="23"/>
      <c r="O66" s="23"/>
      <c r="P66" s="23"/>
      <c r="Q66" s="26"/>
      <c r="R66" s="5"/>
      <c r="S66" s="5"/>
      <c r="T66" s="5"/>
      <c r="U66" s="5"/>
      <c r="V66" s="5"/>
      <c r="W66" s="25"/>
      <c r="X66" s="25"/>
      <c r="Y66" s="5"/>
      <c r="Z66" s="5"/>
      <c r="AA66" s="5"/>
      <c r="AB66" s="5"/>
      <c r="AC66" s="5"/>
      <c r="AD66" s="5"/>
      <c r="AE66" s="5"/>
      <c r="AF66" s="5"/>
      <c r="AG66" s="25"/>
      <c r="AH66" s="25"/>
      <c r="AI66" s="25"/>
      <c r="AJ66" s="25"/>
      <c r="AK66" s="25"/>
      <c r="AL66" s="25"/>
      <c r="AM66" s="25"/>
      <c r="AN66" s="26"/>
      <c r="AO66" s="5"/>
      <c r="AP66" s="25"/>
      <c r="AQ66" s="26"/>
      <c r="AR66" s="26"/>
      <c r="AT66" s="5"/>
      <c r="AV66" s="5" t="s">
        <v>87</v>
      </c>
      <c r="AW66" s="5"/>
      <c r="AX66" s="5">
        <v>4.479009982277013</v>
      </c>
      <c r="AY66" s="5">
        <v>4.496886680942812</v>
      </c>
      <c r="AZ66" s="5">
        <v>4.506184076637175</v>
      </c>
      <c r="BA66" s="5">
        <v>4.50360716418373</v>
      </c>
    </row>
    <row r="67" spans="1:53" ht="15">
      <c r="A67" s="23"/>
      <c r="B67" s="5"/>
      <c r="C67" s="23"/>
      <c r="E67" s="5"/>
      <c r="F67" s="5"/>
      <c r="G67" s="5"/>
      <c r="K67" s="42"/>
      <c r="L67" s="42"/>
      <c r="M67" s="23"/>
      <c r="N67" s="23"/>
      <c r="O67" s="23"/>
      <c r="P67" s="23"/>
      <c r="Q67" s="26"/>
      <c r="R67" s="5"/>
      <c r="S67" s="5"/>
      <c r="T67" s="5"/>
      <c r="U67" s="5"/>
      <c r="V67" s="5"/>
      <c r="W67" s="25"/>
      <c r="X67" s="25"/>
      <c r="Y67" s="5"/>
      <c r="Z67" s="5"/>
      <c r="AA67" s="5"/>
      <c r="AB67" s="5"/>
      <c r="AC67" s="5"/>
      <c r="AD67" s="5"/>
      <c r="AE67" s="5"/>
      <c r="AF67" s="5"/>
      <c r="AG67" s="25"/>
      <c r="AH67" s="25"/>
      <c r="AI67" s="25"/>
      <c r="AJ67" s="25"/>
      <c r="AK67" s="25"/>
      <c r="AL67" s="25"/>
      <c r="AM67" s="25"/>
      <c r="AN67" s="26"/>
      <c r="AO67" s="5"/>
      <c r="AP67" s="25"/>
      <c r="AQ67" s="26"/>
      <c r="AR67" s="26"/>
      <c r="AT67" s="5"/>
      <c r="AV67" s="5" t="s">
        <v>88</v>
      </c>
      <c r="AW67" s="5"/>
      <c r="AX67" s="5">
        <v>5.19597640674221</v>
      </c>
      <c r="AY67" s="5">
        <v>12.141446393783953</v>
      </c>
      <c r="AZ67" s="5">
        <v>26.775805826090828</v>
      </c>
      <c r="BA67" s="5">
        <v>49.55442227177873</v>
      </c>
    </row>
    <row r="68" spans="1:53" ht="15">
      <c r="A68" s="23"/>
      <c r="C68" s="23"/>
      <c r="E68" s="5"/>
      <c r="F68" s="5"/>
      <c r="G68" s="5"/>
      <c r="K68" s="42"/>
      <c r="L68" s="42"/>
      <c r="M68" s="23"/>
      <c r="N68" s="23"/>
      <c r="O68" s="23"/>
      <c r="P68" s="23"/>
      <c r="Q68" s="26"/>
      <c r="R68" s="5"/>
      <c r="S68" s="5"/>
      <c r="T68" s="5"/>
      <c r="U68" s="5"/>
      <c r="V68" s="5"/>
      <c r="W68" s="25"/>
      <c r="X68" s="25"/>
      <c r="Y68" s="5"/>
      <c r="Z68" s="5"/>
      <c r="AA68" s="5"/>
      <c r="AB68" s="5"/>
      <c r="AC68" s="5"/>
      <c r="AD68" s="5"/>
      <c r="AE68" s="5"/>
      <c r="AF68" s="5"/>
      <c r="AG68" s="25"/>
      <c r="AH68" s="25"/>
      <c r="AI68" s="25"/>
      <c r="AJ68" s="25"/>
      <c r="AK68" s="25"/>
      <c r="AL68" s="25"/>
      <c r="AM68" s="25"/>
      <c r="AN68" s="26"/>
      <c r="AO68" s="5"/>
      <c r="AP68" s="25"/>
      <c r="AQ68" s="26"/>
      <c r="AR68" s="26"/>
      <c r="AV68" s="5" t="s">
        <v>89</v>
      </c>
      <c r="AW68" s="5"/>
      <c r="AX68" s="5">
        <v>9.955923507520005</v>
      </c>
      <c r="AY68" s="5">
        <v>7.144634195520002</v>
      </c>
      <c r="AZ68" s="5">
        <v>3.630522555520006</v>
      </c>
      <c r="BA68" s="5">
        <v>0.1164109155200066</v>
      </c>
    </row>
    <row r="69" spans="1:53" ht="15">
      <c r="A69" s="23"/>
      <c r="C69" s="23"/>
      <c r="E69" s="5"/>
      <c r="F69" s="5"/>
      <c r="G69" s="5"/>
      <c r="K69" s="42"/>
      <c r="L69" s="42"/>
      <c r="M69" s="23"/>
      <c r="N69" s="23"/>
      <c r="O69" s="23"/>
      <c r="P69" s="23"/>
      <c r="Q69" s="26"/>
      <c r="R69" s="5"/>
      <c r="S69" s="5"/>
      <c r="T69" s="5"/>
      <c r="U69" s="5"/>
      <c r="V69" s="5"/>
      <c r="W69" s="25"/>
      <c r="X69" s="25"/>
      <c r="Y69" s="5"/>
      <c r="Z69" s="5"/>
      <c r="AA69" s="5"/>
      <c r="AB69" s="5"/>
      <c r="AC69" s="5"/>
      <c r="AD69" s="5"/>
      <c r="AE69" s="5"/>
      <c r="AF69" s="5"/>
      <c r="AG69" s="25"/>
      <c r="AH69" s="25"/>
      <c r="AI69" s="25"/>
      <c r="AJ69" s="25"/>
      <c r="AK69" s="25"/>
      <c r="AL69" s="25"/>
      <c r="AM69" s="25"/>
      <c r="AN69" s="26"/>
      <c r="AO69" s="5"/>
      <c r="AP69" s="25"/>
      <c r="AQ69" s="26"/>
      <c r="AR69" s="26"/>
      <c r="AV69" s="5" t="s">
        <v>116</v>
      </c>
      <c r="AW69" s="5"/>
      <c r="AX69" s="5">
        <v>0.17281351390719996</v>
      </c>
      <c r="AY69" s="5">
        <v>0.18355754731520002</v>
      </c>
      <c r="AZ69" s="5">
        <v>0.1976550056751999</v>
      </c>
      <c r="BA69" s="5">
        <v>0.21249403803519995</v>
      </c>
    </row>
    <row r="70" spans="1:44" ht="15">
      <c r="A70" s="23"/>
      <c r="C70" s="23"/>
      <c r="E70" s="5"/>
      <c r="F70" s="5"/>
      <c r="G70" s="5"/>
      <c r="K70" s="42"/>
      <c r="L70" s="42"/>
      <c r="M70" s="23"/>
      <c r="N70" s="23"/>
      <c r="O70" s="23"/>
      <c r="P70" s="23"/>
      <c r="Q70" s="26"/>
      <c r="R70" s="5"/>
      <c r="S70" s="5"/>
      <c r="T70" s="5"/>
      <c r="U70" s="5"/>
      <c r="V70" s="5"/>
      <c r="W70" s="25"/>
      <c r="X70" s="25"/>
      <c r="Y70" s="5"/>
      <c r="Z70" s="5"/>
      <c r="AA70" s="5"/>
      <c r="AB70" s="5"/>
      <c r="AC70" s="5"/>
      <c r="AD70" s="5"/>
      <c r="AE70" s="5"/>
      <c r="AF70" s="5"/>
      <c r="AG70" s="25"/>
      <c r="AH70" s="25"/>
      <c r="AI70" s="25"/>
      <c r="AJ70" s="25"/>
      <c r="AK70" s="25"/>
      <c r="AL70" s="25"/>
      <c r="AM70" s="25"/>
      <c r="AN70" s="26"/>
      <c r="AO70" s="5"/>
      <c r="AP70" s="25"/>
      <c r="AQ70" s="26"/>
      <c r="AR70" s="26"/>
    </row>
    <row r="71" spans="1:44" ht="15">
      <c r="A71" s="23"/>
      <c r="C71" s="23"/>
      <c r="E71" s="5"/>
      <c r="F71" s="5"/>
      <c r="G71" s="5"/>
      <c r="K71" s="42"/>
      <c r="L71" s="42"/>
      <c r="M71" s="23"/>
      <c r="N71" s="23"/>
      <c r="O71" s="23"/>
      <c r="P71" s="23"/>
      <c r="Q71" s="26"/>
      <c r="R71" s="5"/>
      <c r="S71" s="5"/>
      <c r="T71" s="5"/>
      <c r="U71" s="5"/>
      <c r="V71" s="5"/>
      <c r="W71" s="25"/>
      <c r="X71" s="25"/>
      <c r="Y71" s="5"/>
      <c r="Z71" s="5"/>
      <c r="AA71" s="5"/>
      <c r="AB71" s="5"/>
      <c r="AC71" s="5"/>
      <c r="AD71" s="5"/>
      <c r="AE71" s="5"/>
      <c r="AF71" s="5"/>
      <c r="AG71" s="25"/>
      <c r="AH71" s="25"/>
      <c r="AI71" s="25"/>
      <c r="AJ71" s="25"/>
      <c r="AK71" s="25"/>
      <c r="AL71" s="25"/>
      <c r="AM71" s="25"/>
      <c r="AN71" s="26"/>
      <c r="AO71" s="5"/>
      <c r="AP71" s="25"/>
      <c r="AQ71" s="26"/>
      <c r="AR71" s="26"/>
    </row>
    <row r="72" spans="1:44" ht="15">
      <c r="A72" s="23"/>
      <c r="C72" s="23"/>
      <c r="E72" s="5"/>
      <c r="F72" s="5"/>
      <c r="G72" s="5"/>
      <c r="K72" s="42"/>
      <c r="L72" s="42"/>
      <c r="M72" s="23"/>
      <c r="N72" s="23"/>
      <c r="O72" s="23"/>
      <c r="P72" s="23"/>
      <c r="Q72" s="26"/>
      <c r="R72" s="5"/>
      <c r="S72" s="5"/>
      <c r="T72" s="5"/>
      <c r="U72" s="5"/>
      <c r="V72" s="5"/>
      <c r="W72" s="25"/>
      <c r="X72" s="25"/>
      <c r="Y72" s="5"/>
      <c r="Z72" s="5"/>
      <c r="AA72" s="5"/>
      <c r="AB72" s="5"/>
      <c r="AC72" s="5"/>
      <c r="AD72" s="5"/>
      <c r="AE72" s="5"/>
      <c r="AF72" s="5"/>
      <c r="AG72" s="25"/>
      <c r="AH72" s="25"/>
      <c r="AI72" s="25"/>
      <c r="AJ72" s="25"/>
      <c r="AK72" s="25"/>
      <c r="AL72" s="25"/>
      <c r="AM72" s="25"/>
      <c r="AN72" s="26"/>
      <c r="AO72" s="5"/>
      <c r="AP72" s="25"/>
      <c r="AQ72" s="26"/>
      <c r="AR72" s="26"/>
    </row>
    <row r="73" spans="1:44" ht="15">
      <c r="A73" s="23"/>
      <c r="C73" s="23"/>
      <c r="E73" s="5"/>
      <c r="F73" s="5"/>
      <c r="G73" s="5"/>
      <c r="K73" s="42"/>
      <c r="L73" s="42"/>
      <c r="M73" s="23"/>
      <c r="N73" s="23"/>
      <c r="O73" s="23"/>
      <c r="P73" s="23"/>
      <c r="Q73" s="26"/>
      <c r="R73" s="5"/>
      <c r="S73" s="5"/>
      <c r="T73" s="5"/>
      <c r="U73" s="5"/>
      <c r="V73" s="5"/>
      <c r="W73" s="25"/>
      <c r="X73" s="25"/>
      <c r="Y73" s="5"/>
      <c r="Z73" s="5"/>
      <c r="AA73" s="5"/>
      <c r="AB73" s="5"/>
      <c r="AC73" s="5"/>
      <c r="AD73" s="5"/>
      <c r="AE73" s="5"/>
      <c r="AF73" s="5"/>
      <c r="AG73" s="25"/>
      <c r="AH73" s="25"/>
      <c r="AI73" s="25"/>
      <c r="AJ73" s="25"/>
      <c r="AK73" s="25"/>
      <c r="AL73" s="25"/>
      <c r="AM73" s="25"/>
      <c r="AN73" s="26"/>
      <c r="AO73" s="5"/>
      <c r="AP73" s="25"/>
      <c r="AQ73" s="26"/>
      <c r="AR73" s="26"/>
    </row>
    <row r="74" spans="1:44" ht="15">
      <c r="A74" s="23"/>
      <c r="C74" s="23"/>
      <c r="E74" s="5"/>
      <c r="F74" s="5"/>
      <c r="G74" s="5"/>
      <c r="K74" s="42"/>
      <c r="L74" s="42"/>
      <c r="M74" s="23"/>
      <c r="N74" s="23"/>
      <c r="O74" s="23"/>
      <c r="P74" s="23"/>
      <c r="Q74" s="26"/>
      <c r="R74" s="5"/>
      <c r="S74" s="5"/>
      <c r="T74" s="5"/>
      <c r="U74" s="5"/>
      <c r="V74" s="5"/>
      <c r="W74" s="25"/>
      <c r="X74" s="25"/>
      <c r="Y74" s="5"/>
      <c r="Z74" s="5"/>
      <c r="AA74" s="5"/>
      <c r="AB74" s="5"/>
      <c r="AC74" s="5"/>
      <c r="AD74" s="5"/>
      <c r="AE74" s="5"/>
      <c r="AF74" s="5"/>
      <c r="AG74" s="25"/>
      <c r="AH74" s="25"/>
      <c r="AI74" s="25"/>
      <c r="AJ74" s="25"/>
      <c r="AK74" s="25"/>
      <c r="AL74" s="25"/>
      <c r="AM74" s="25"/>
      <c r="AN74" s="26"/>
      <c r="AO74" s="5"/>
      <c r="AP74" s="25"/>
      <c r="AQ74" s="26"/>
      <c r="AR74" s="26"/>
    </row>
    <row r="75" spans="1:44" ht="15">
      <c r="A75" s="23"/>
      <c r="B75" s="5"/>
      <c r="C75" s="23"/>
      <c r="E75" s="5"/>
      <c r="F75" s="5"/>
      <c r="G75" s="5"/>
      <c r="K75" s="42"/>
      <c r="L75" s="42"/>
      <c r="M75" s="23"/>
      <c r="N75" s="23"/>
      <c r="O75" s="23"/>
      <c r="P75" s="23"/>
      <c r="Q75" s="26"/>
      <c r="R75" s="5"/>
      <c r="S75" s="5"/>
      <c r="T75" s="5"/>
      <c r="U75" s="5"/>
      <c r="V75" s="5"/>
      <c r="W75" s="25"/>
      <c r="X75" s="25"/>
      <c r="Y75" s="5"/>
      <c r="Z75" s="5"/>
      <c r="AA75" s="5"/>
      <c r="AB75" s="5"/>
      <c r="AC75" s="5"/>
      <c r="AD75" s="5"/>
      <c r="AE75" s="5"/>
      <c r="AF75" s="5"/>
      <c r="AG75" s="25"/>
      <c r="AH75" s="25"/>
      <c r="AI75" s="25"/>
      <c r="AJ75" s="25"/>
      <c r="AK75" s="25"/>
      <c r="AL75" s="25"/>
      <c r="AM75" s="25"/>
      <c r="AN75" s="26"/>
      <c r="AO75" s="5"/>
      <c r="AP75" s="25"/>
      <c r="AQ75" s="26"/>
      <c r="AR75" s="26"/>
    </row>
    <row r="76" spans="3:42" ht="15">
      <c r="C76" s="23"/>
      <c r="D76" s="5"/>
      <c r="E76" s="5"/>
      <c r="F76" s="23"/>
      <c r="G76" s="5"/>
      <c r="H76" s="5"/>
      <c r="I76" s="5"/>
      <c r="J76" s="5"/>
      <c r="K76" s="5"/>
      <c r="L76" s="5"/>
      <c r="M76" s="5"/>
      <c r="N76" s="5"/>
      <c r="P76" s="5"/>
      <c r="Q76" s="5"/>
      <c r="R76" s="5"/>
      <c r="S76" s="5"/>
      <c r="T76" s="26"/>
      <c r="U76" s="5"/>
      <c r="V76" s="5"/>
      <c r="W76" s="5"/>
      <c r="X76" s="5"/>
      <c r="Z76" s="5"/>
      <c r="AB76" s="5"/>
      <c r="AP76" s="5"/>
    </row>
    <row r="77" spans="3:42" ht="15">
      <c r="C77" s="23"/>
      <c r="D77" s="23"/>
      <c r="F77" s="23"/>
      <c r="G77" s="5"/>
      <c r="H77" s="5"/>
      <c r="I77" s="5"/>
      <c r="J77" s="5"/>
      <c r="K77" s="5"/>
      <c r="L77" s="5"/>
      <c r="M77" s="5"/>
      <c r="N77" s="5"/>
      <c r="P77" s="5"/>
      <c r="Q77" s="5"/>
      <c r="R77" s="5"/>
      <c r="S77" s="5"/>
      <c r="T77" s="26"/>
      <c r="U77" s="5"/>
      <c r="V77" s="5"/>
      <c r="W77" s="5"/>
      <c r="X77" s="5"/>
      <c r="Z77" s="5"/>
      <c r="AB77" s="5"/>
      <c r="AP77" s="5"/>
    </row>
    <row r="78" spans="3:42" ht="17.25">
      <c r="C78" s="23"/>
      <c r="D78" s="5"/>
      <c r="F78" s="23"/>
      <c r="G78" s="5"/>
      <c r="H78" s="5"/>
      <c r="I78" s="5"/>
      <c r="J78" s="5"/>
      <c r="K78" s="43"/>
      <c r="L78" s="43"/>
      <c r="M78" s="5"/>
      <c r="N78" s="5"/>
      <c r="O78" s="5"/>
      <c r="S78" s="5"/>
      <c r="T78" s="26"/>
      <c r="U78" s="5"/>
      <c r="V78" s="5"/>
      <c r="W78" s="5"/>
      <c r="X78" s="5"/>
      <c r="Z78" s="5"/>
      <c r="AB78" s="5"/>
      <c r="AP78" s="5"/>
    </row>
    <row r="79" spans="4:42" ht="15">
      <c r="D79" s="23"/>
      <c r="F79" s="23"/>
      <c r="G79" s="5"/>
      <c r="H79" s="5"/>
      <c r="I79" s="5"/>
      <c r="J79" s="5"/>
      <c r="K79" s="5"/>
      <c r="L79" s="5"/>
      <c r="S79" s="5"/>
      <c r="T79" s="26"/>
      <c r="U79" s="5"/>
      <c r="V79" s="5"/>
      <c r="W79" s="5"/>
      <c r="X79" s="5"/>
      <c r="Z79" s="5"/>
      <c r="AB79" s="5"/>
      <c r="AP79" s="5"/>
    </row>
    <row r="80" spans="4:42" ht="15">
      <c r="D80" s="23"/>
      <c r="E80" s="5"/>
      <c r="F80" s="5"/>
      <c r="G80" s="5"/>
      <c r="K80" s="23"/>
      <c r="L80" s="23"/>
      <c r="M80" s="23"/>
      <c r="N80" s="23"/>
      <c r="O80" s="23"/>
      <c r="P80" s="23"/>
      <c r="Q80" s="26"/>
      <c r="R80" s="5"/>
      <c r="S80" s="5"/>
      <c r="T80" s="5"/>
      <c r="U80" s="5"/>
      <c r="V80" s="5"/>
      <c r="W80" s="5"/>
      <c r="X80" s="5"/>
      <c r="Z80" s="5"/>
      <c r="AB80" s="5"/>
      <c r="AP80" s="5"/>
    </row>
    <row r="81" spans="4:42" ht="15">
      <c r="D81" s="23"/>
      <c r="E81" s="5"/>
      <c r="F81" s="5"/>
      <c r="G81" s="5"/>
      <c r="K81" s="23"/>
      <c r="L81" s="23"/>
      <c r="M81" s="23"/>
      <c r="N81" s="23"/>
      <c r="O81" s="23"/>
      <c r="P81" s="23"/>
      <c r="Q81" s="26"/>
      <c r="R81" s="5"/>
      <c r="S81" s="5"/>
      <c r="T81" s="5"/>
      <c r="U81" s="5"/>
      <c r="V81" s="5"/>
      <c r="W81" s="5"/>
      <c r="X81" s="5"/>
      <c r="Z81" s="5"/>
      <c r="AB81" s="5"/>
      <c r="AP81" s="5"/>
    </row>
    <row r="82" spans="4:42" ht="15">
      <c r="D82" s="23"/>
      <c r="E82" s="5"/>
      <c r="F82" s="5"/>
      <c r="G82" s="5"/>
      <c r="K82" s="23"/>
      <c r="L82" s="23"/>
      <c r="M82" s="23"/>
      <c r="N82" s="23"/>
      <c r="O82" s="23"/>
      <c r="P82" s="23"/>
      <c r="Q82" s="26"/>
      <c r="R82" s="5"/>
      <c r="S82" s="5"/>
      <c r="T82" s="5"/>
      <c r="U82" s="5"/>
      <c r="V82" s="5"/>
      <c r="W82" s="5"/>
      <c r="X82" s="5"/>
      <c r="Z82" s="5"/>
      <c r="AB82" s="5"/>
      <c r="AP82" s="5"/>
    </row>
    <row r="83" spans="4:42" ht="15">
      <c r="D83" s="23"/>
      <c r="E83" s="5"/>
      <c r="F83" s="5"/>
      <c r="G83" s="5"/>
      <c r="K83" s="23"/>
      <c r="L83" s="23"/>
      <c r="M83" s="23"/>
      <c r="N83" s="23"/>
      <c r="O83" s="23"/>
      <c r="P83" s="23"/>
      <c r="Q83" s="26"/>
      <c r="R83" s="5"/>
      <c r="S83" s="5"/>
      <c r="T83" s="5"/>
      <c r="U83" s="5"/>
      <c r="V83" s="5"/>
      <c r="W83" s="5"/>
      <c r="X83" s="5"/>
      <c r="Z83" s="5"/>
      <c r="AB83" s="5"/>
      <c r="AP83" s="5"/>
    </row>
    <row r="84" spans="4:42" ht="15">
      <c r="D84" s="23"/>
      <c r="F84" s="5"/>
      <c r="G84" s="5"/>
      <c r="K84" s="23"/>
      <c r="L84" s="23"/>
      <c r="M84" s="23"/>
      <c r="N84" s="23"/>
      <c r="O84" s="23"/>
      <c r="P84" s="23"/>
      <c r="Q84" s="26"/>
      <c r="R84" s="5"/>
      <c r="S84" s="5"/>
      <c r="T84" s="5"/>
      <c r="U84" s="5"/>
      <c r="V84" s="5"/>
      <c r="W84" s="5"/>
      <c r="X84" s="5"/>
      <c r="Z84" s="5"/>
      <c r="AB84" s="5"/>
      <c r="AP84" s="5"/>
    </row>
    <row r="85" spans="4:42" ht="15">
      <c r="D85" s="23"/>
      <c r="F85" s="5"/>
      <c r="G85" s="5"/>
      <c r="K85" s="23"/>
      <c r="L85" s="23"/>
      <c r="M85" s="23"/>
      <c r="N85" s="23"/>
      <c r="O85" s="23"/>
      <c r="P85" s="23"/>
      <c r="Q85" s="26"/>
      <c r="R85" s="5"/>
      <c r="S85" s="5"/>
      <c r="T85" s="5"/>
      <c r="U85" s="5"/>
      <c r="V85" s="5"/>
      <c r="W85" s="5"/>
      <c r="X85" s="5"/>
      <c r="Z85" s="5"/>
      <c r="AB85" s="5"/>
      <c r="AP85" s="5"/>
    </row>
    <row r="86" spans="4:42" ht="15">
      <c r="D86" s="23"/>
      <c r="F86" s="5"/>
      <c r="G86" s="5"/>
      <c r="K86" s="23"/>
      <c r="L86" s="23"/>
      <c r="M86" s="23"/>
      <c r="N86" s="23"/>
      <c r="O86" s="23"/>
      <c r="P86" s="23"/>
      <c r="Q86" s="26"/>
      <c r="R86" s="5"/>
      <c r="S86" s="5"/>
      <c r="T86" s="5"/>
      <c r="U86" s="5"/>
      <c r="V86" s="5"/>
      <c r="W86" s="5"/>
      <c r="X86" s="5"/>
      <c r="Z86" s="5"/>
      <c r="AB86" s="5"/>
      <c r="AP86" s="5"/>
    </row>
    <row r="87" spans="3:42" ht="15">
      <c r="C87" s="5"/>
      <c r="D87" s="23"/>
      <c r="F87" s="5"/>
      <c r="G87" s="5"/>
      <c r="K87" s="23"/>
      <c r="L87" s="23"/>
      <c r="M87" s="23"/>
      <c r="N87" s="23"/>
      <c r="O87" s="23"/>
      <c r="P87" s="23"/>
      <c r="Q87" s="26"/>
      <c r="R87" s="5"/>
      <c r="S87" s="5"/>
      <c r="T87" s="5"/>
      <c r="U87" s="5"/>
      <c r="V87" s="5"/>
      <c r="W87" s="5"/>
      <c r="X87" s="5"/>
      <c r="Z87" s="5"/>
      <c r="AB87" s="5"/>
      <c r="AP87" s="5"/>
    </row>
    <row r="88" spans="3:42" ht="15">
      <c r="C88" s="5"/>
      <c r="D88" s="23"/>
      <c r="F88" s="5"/>
      <c r="G88" s="5"/>
      <c r="K88" s="23"/>
      <c r="L88" s="23"/>
      <c r="M88" s="23"/>
      <c r="N88" s="23"/>
      <c r="O88" s="23"/>
      <c r="P88" s="23"/>
      <c r="Q88" s="26"/>
      <c r="R88" s="5"/>
      <c r="S88" s="5"/>
      <c r="T88" s="5"/>
      <c r="U88" s="5"/>
      <c r="V88" s="5"/>
      <c r="W88" s="5"/>
      <c r="X88" s="5"/>
      <c r="Z88" s="5"/>
      <c r="AB88" s="5"/>
      <c r="AP88" s="5"/>
    </row>
    <row r="89" spans="3:42" ht="15">
      <c r="C89" s="5"/>
      <c r="D89" s="23"/>
      <c r="F89" s="5"/>
      <c r="G89" s="5"/>
      <c r="K89" s="23"/>
      <c r="L89" s="23"/>
      <c r="M89" s="23"/>
      <c r="N89" s="23"/>
      <c r="O89" s="23"/>
      <c r="P89" s="23"/>
      <c r="Q89" s="26"/>
      <c r="R89" s="5"/>
      <c r="S89" s="5"/>
      <c r="T89" s="5"/>
      <c r="U89" s="5"/>
      <c r="V89" s="5"/>
      <c r="W89" s="5"/>
      <c r="X89" s="5"/>
      <c r="Z89" s="5"/>
      <c r="AB89" s="5"/>
      <c r="AP89" s="5"/>
    </row>
    <row r="90" spans="3:42" ht="15">
      <c r="C90" s="5"/>
      <c r="F90" s="5"/>
      <c r="G90" s="5"/>
      <c r="K90" s="23"/>
      <c r="L90" s="23"/>
      <c r="M90" s="23"/>
      <c r="N90" s="23"/>
      <c r="O90" s="23"/>
      <c r="P90" s="23"/>
      <c r="Q90" s="26"/>
      <c r="R90" s="5"/>
      <c r="S90" s="5"/>
      <c r="T90" s="5"/>
      <c r="U90" s="5"/>
      <c r="V90" s="5"/>
      <c r="W90" s="5"/>
      <c r="X90" s="5"/>
      <c r="Z90" s="5"/>
      <c r="AB90" s="5"/>
      <c r="AP90" s="5"/>
    </row>
    <row r="91" spans="3:42" ht="15">
      <c r="C91" s="5"/>
      <c r="D91" s="23"/>
      <c r="F91" s="5"/>
      <c r="G91" s="5"/>
      <c r="K91" s="23"/>
      <c r="L91" s="23"/>
      <c r="M91" s="23"/>
      <c r="N91" s="23"/>
      <c r="O91" s="23"/>
      <c r="P91" s="23"/>
      <c r="Q91" s="26"/>
      <c r="R91" s="5"/>
      <c r="S91" s="5"/>
      <c r="T91" s="5"/>
      <c r="U91" s="5"/>
      <c r="V91" s="5"/>
      <c r="W91" s="5"/>
      <c r="X91" s="5"/>
      <c r="Z91" s="5"/>
      <c r="AB91" s="5"/>
      <c r="AP91" s="5"/>
    </row>
    <row r="92" spans="3:42" ht="15">
      <c r="C92" s="5"/>
      <c r="E92" s="5"/>
      <c r="G92" s="5"/>
      <c r="H92" s="5"/>
      <c r="I92" s="5"/>
      <c r="J92" s="5"/>
      <c r="K92" s="5"/>
      <c r="L92" s="5"/>
      <c r="M92" s="5"/>
      <c r="N92" s="5"/>
      <c r="P92" s="5"/>
      <c r="Q92" s="5"/>
      <c r="R92" s="5"/>
      <c r="S92" s="5"/>
      <c r="T92" s="26"/>
      <c r="U92" s="5"/>
      <c r="V92" s="5"/>
      <c r="W92" s="5"/>
      <c r="X92" s="5"/>
      <c r="Z92" s="5"/>
      <c r="AB92" s="5"/>
      <c r="AP92" s="5"/>
    </row>
    <row r="93" spans="3:42" ht="15">
      <c r="C93" s="5"/>
      <c r="G93" s="5"/>
      <c r="H93" s="5"/>
      <c r="I93" s="5"/>
      <c r="J93" s="5"/>
      <c r="K93" s="5"/>
      <c r="L93" s="5"/>
      <c r="M93" s="5"/>
      <c r="N93" s="5"/>
      <c r="P93" s="5"/>
      <c r="Q93" s="5"/>
      <c r="R93" s="5"/>
      <c r="S93" s="5"/>
      <c r="T93" s="26"/>
      <c r="U93" s="5"/>
      <c r="V93" s="5"/>
      <c r="W93" s="5"/>
      <c r="X93" s="5"/>
      <c r="Z93" s="5"/>
      <c r="AB93" s="5"/>
      <c r="AP93" s="5"/>
    </row>
    <row r="94" spans="3:42" ht="15">
      <c r="C94" s="5"/>
      <c r="G94" s="5"/>
      <c r="H94" s="5"/>
      <c r="I94" s="5"/>
      <c r="J94" s="5"/>
      <c r="K94" s="5"/>
      <c r="L94" s="5"/>
      <c r="M94" s="5"/>
      <c r="N94" s="5"/>
      <c r="P94" s="5"/>
      <c r="Q94" s="5"/>
      <c r="R94" s="5"/>
      <c r="S94" s="5"/>
      <c r="T94" s="26"/>
      <c r="U94" s="5"/>
      <c r="V94" s="5"/>
      <c r="W94" s="5"/>
      <c r="X94" s="5"/>
      <c r="Z94" s="5"/>
      <c r="AB94" s="5"/>
      <c r="AP94" s="5"/>
    </row>
    <row r="95" spans="3:42" ht="15">
      <c r="C95" s="5"/>
      <c r="G95" s="5"/>
      <c r="H95" s="5"/>
      <c r="I95" s="5"/>
      <c r="J95" s="5"/>
      <c r="K95" s="5"/>
      <c r="L95" s="5"/>
      <c r="M95" s="5"/>
      <c r="N95" s="5"/>
      <c r="P95" s="5"/>
      <c r="Q95" s="5"/>
      <c r="R95" s="5"/>
      <c r="S95" s="5"/>
      <c r="T95" s="26"/>
      <c r="U95" s="5"/>
      <c r="V95" s="5"/>
      <c r="W95" s="5"/>
      <c r="X95" s="5"/>
      <c r="Z95" s="5"/>
      <c r="AB95" s="5"/>
      <c r="AP95" s="5"/>
    </row>
    <row r="96" spans="3:42" ht="15">
      <c r="C96" s="5"/>
      <c r="G96" s="5"/>
      <c r="H96" s="5"/>
      <c r="I96" s="5"/>
      <c r="J96" s="5"/>
      <c r="K96" s="5"/>
      <c r="L96" s="5"/>
      <c r="M96" s="5"/>
      <c r="N96" s="5"/>
      <c r="P96" s="5"/>
      <c r="Q96" s="5"/>
      <c r="R96" s="5"/>
      <c r="S96" s="5"/>
      <c r="T96" s="26"/>
      <c r="U96" s="5"/>
      <c r="V96" s="5"/>
      <c r="W96" s="5"/>
      <c r="X96" s="5"/>
      <c r="Z96" s="5"/>
      <c r="AB96" s="5"/>
      <c r="AP96" s="5"/>
    </row>
    <row r="97" spans="7:42" ht="15">
      <c r="G97" s="5"/>
      <c r="H97" s="5"/>
      <c r="I97" s="5"/>
      <c r="J97" s="5"/>
      <c r="K97" s="5"/>
      <c r="L97" s="5"/>
      <c r="M97" s="5"/>
      <c r="N97" s="5"/>
      <c r="P97" s="5"/>
      <c r="Q97" s="5"/>
      <c r="R97" s="5"/>
      <c r="S97" s="5"/>
      <c r="T97" s="26"/>
      <c r="U97" s="5"/>
      <c r="V97" s="5"/>
      <c r="W97" s="5"/>
      <c r="X97" s="5"/>
      <c r="Z97" s="5"/>
      <c r="AB97" s="5"/>
      <c r="AP97" s="5"/>
    </row>
    <row r="98" ht="15">
      <c r="AP98" s="5"/>
    </row>
    <row r="99" ht="15">
      <c r="AP99" s="5"/>
    </row>
    <row r="100" ht="15">
      <c r="AP100" s="5"/>
    </row>
    <row r="101" ht="15">
      <c r="AP101" s="5"/>
    </row>
    <row r="102" ht="15">
      <c r="AP102" s="5"/>
    </row>
    <row r="103" ht="15">
      <c r="AP103" s="5"/>
    </row>
    <row r="105" ht="15">
      <c r="AP105" s="5"/>
    </row>
    <row r="107" spans="9:29" ht="15">
      <c r="I107" s="5"/>
      <c r="J107" s="5"/>
      <c r="K107" s="5"/>
      <c r="L107" s="5"/>
      <c r="M107" s="5"/>
      <c r="N107" s="5"/>
      <c r="W107" s="5"/>
      <c r="X107" s="5"/>
      <c r="Y107" s="5"/>
      <c r="Z107" s="5"/>
      <c r="AA107" s="5"/>
      <c r="AB107" s="5"/>
      <c r="AC107" s="5"/>
    </row>
    <row r="108" spans="9:29" ht="15">
      <c r="I108" s="5"/>
      <c r="J108" s="5"/>
      <c r="K108" s="5"/>
      <c r="L108" s="5"/>
      <c r="M108" s="5"/>
      <c r="N108" s="5"/>
      <c r="W108" s="5"/>
      <c r="X108" s="5"/>
      <c r="Y108" s="5"/>
      <c r="Z108" s="5"/>
      <c r="AA108" s="5"/>
      <c r="AB108" s="5"/>
      <c r="AC108" s="5"/>
    </row>
    <row r="109" spans="9:29" ht="15">
      <c r="I109" s="5"/>
      <c r="J109" s="5"/>
      <c r="K109" s="5"/>
      <c r="L109" s="5"/>
      <c r="M109" s="5"/>
      <c r="N109" s="5"/>
      <c r="W109" s="5"/>
      <c r="X109" s="5"/>
      <c r="Y109" s="5"/>
      <c r="Z109" s="5"/>
      <c r="AA109" s="5"/>
      <c r="AB109" s="5"/>
      <c r="AC109" s="5"/>
    </row>
    <row r="110" spans="9:29" ht="15">
      <c r="I110" s="5"/>
      <c r="J110" s="5"/>
      <c r="K110" s="5"/>
      <c r="L110" s="5"/>
      <c r="M110" s="5"/>
      <c r="N110" s="5"/>
      <c r="W110" s="5"/>
      <c r="X110" s="5"/>
      <c r="Y110" s="5"/>
      <c r="Z110" s="5"/>
      <c r="AA110" s="5"/>
      <c r="AB110" s="5"/>
      <c r="AC110" s="5"/>
    </row>
    <row r="111" spans="9:29" ht="15">
      <c r="I111" s="5"/>
      <c r="J111" s="5"/>
      <c r="K111" s="5"/>
      <c r="L111" s="5"/>
      <c r="M111" s="5"/>
      <c r="N111" s="5"/>
      <c r="W111" s="5"/>
      <c r="X111" s="5"/>
      <c r="Y111" s="5"/>
      <c r="Z111" s="5"/>
      <c r="AA111" s="5"/>
      <c r="AB111" s="5"/>
      <c r="AC111" s="5"/>
    </row>
    <row r="112" spans="9:29" ht="15">
      <c r="I112" s="5"/>
      <c r="J112" s="5"/>
      <c r="K112" s="5"/>
      <c r="L112" s="5"/>
      <c r="M112" s="5"/>
      <c r="N112" s="5"/>
      <c r="W112" s="5"/>
      <c r="X112" s="5"/>
      <c r="Y112" s="5"/>
      <c r="Z112" s="5"/>
      <c r="AA112" s="5"/>
      <c r="AB112" s="5"/>
      <c r="AC112" s="5"/>
    </row>
    <row r="113" spans="9:29" ht="15">
      <c r="I113" s="5"/>
      <c r="J113" s="5"/>
      <c r="K113" s="5"/>
      <c r="L113" s="5"/>
      <c r="M113" s="5"/>
      <c r="N113" s="5"/>
      <c r="W113" s="5"/>
      <c r="X113" s="5"/>
      <c r="Y113" s="5"/>
      <c r="Z113" s="5"/>
      <c r="AA113" s="5"/>
      <c r="AB113" s="5"/>
      <c r="AC113" s="5"/>
    </row>
    <row r="114" spans="9:29" ht="15">
      <c r="I114" s="5"/>
      <c r="J114" s="5"/>
      <c r="K114" s="5"/>
      <c r="L114" s="5"/>
      <c r="M114" s="5"/>
      <c r="N114" s="5"/>
      <c r="W114" s="5"/>
      <c r="X114" s="5"/>
      <c r="Y114" s="5"/>
      <c r="Z114" s="5"/>
      <c r="AA114" s="5"/>
      <c r="AB114" s="5"/>
      <c r="AC114" s="5"/>
    </row>
    <row r="115" spans="9:29" ht="15">
      <c r="I115" s="5"/>
      <c r="J115" s="5"/>
      <c r="K115" s="5"/>
      <c r="L115" s="5"/>
      <c r="M115" s="5"/>
      <c r="N115" s="5"/>
      <c r="W115" s="5"/>
      <c r="X115" s="5"/>
      <c r="Y115" s="5"/>
      <c r="Z115" s="5"/>
      <c r="AA115" s="5"/>
      <c r="AB115" s="5"/>
      <c r="AC115" s="5"/>
    </row>
    <row r="116" spans="9:29" ht="15">
      <c r="I116" s="5"/>
      <c r="J116" s="5"/>
      <c r="K116" s="5"/>
      <c r="L116" s="5"/>
      <c r="M116" s="5"/>
      <c r="N116" s="5"/>
      <c r="W116" s="5"/>
      <c r="X116" s="5"/>
      <c r="Y116" s="5"/>
      <c r="Z116" s="5"/>
      <c r="AA116" s="5"/>
      <c r="AB116" s="5"/>
      <c r="AC116" s="5"/>
    </row>
    <row r="117" spans="9:29" ht="15">
      <c r="I117" s="5"/>
      <c r="J117" s="5"/>
      <c r="K117" s="5"/>
      <c r="L117" s="5"/>
      <c r="M117" s="5"/>
      <c r="N117" s="5"/>
      <c r="W117" s="5"/>
      <c r="X117" s="5"/>
      <c r="Y117" s="5"/>
      <c r="Z117" s="5"/>
      <c r="AA117" s="5"/>
      <c r="AB117" s="5"/>
      <c r="AC117" s="5"/>
    </row>
    <row r="118" spans="9:29" ht="15">
      <c r="I118" s="5"/>
      <c r="J118" s="5"/>
      <c r="K118" s="5"/>
      <c r="L118" s="5"/>
      <c r="M118" s="5"/>
      <c r="N118" s="5"/>
      <c r="W118" s="5"/>
      <c r="X118" s="5"/>
      <c r="Y118" s="5"/>
      <c r="Z118" s="5"/>
      <c r="AA118" s="5"/>
      <c r="AB118" s="5"/>
      <c r="AC118" s="5"/>
    </row>
    <row r="119" spans="9:29" ht="15">
      <c r="I119" s="5"/>
      <c r="J119" s="5"/>
      <c r="K119" s="5"/>
      <c r="L119" s="5"/>
      <c r="M119" s="5"/>
      <c r="N119" s="5"/>
      <c r="W119" s="5"/>
      <c r="X119" s="5"/>
      <c r="Y119" s="5"/>
      <c r="Z119" s="5"/>
      <c r="AA119" s="5"/>
      <c r="AB119" s="5"/>
      <c r="AC119" s="5"/>
    </row>
    <row r="120" spans="9:29" ht="15">
      <c r="I120" s="5"/>
      <c r="J120" s="5"/>
      <c r="K120" s="5"/>
      <c r="L120" s="5"/>
      <c r="M120" s="5"/>
      <c r="N120" s="5"/>
      <c r="W120" s="5"/>
      <c r="X120" s="5"/>
      <c r="Y120" s="5"/>
      <c r="Z120" s="5"/>
      <c r="AA120" s="5"/>
      <c r="AB120" s="5"/>
      <c r="AC120" s="5"/>
    </row>
    <row r="121" spans="9:24" ht="15">
      <c r="I121" s="5"/>
      <c r="W121" s="44"/>
      <c r="X121" s="44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121"/>
  <sheetViews>
    <sheetView zoomScale="75" zoomScaleNormal="75" workbookViewId="0" topLeftCell="C38">
      <selection activeCell="E9" sqref="E9"/>
    </sheetView>
  </sheetViews>
  <sheetFormatPr defaultColWidth="9.140625" defaultRowHeight="12.75"/>
  <cols>
    <col min="1" max="1" width="17.421875" style="1" customWidth="1"/>
    <col min="2" max="2" width="16.28125" style="1" customWidth="1"/>
    <col min="3" max="4" width="14.28125" style="1" customWidth="1"/>
    <col min="5" max="5" width="13.8515625" style="1" customWidth="1"/>
    <col min="6" max="7" width="8.7109375" style="1" customWidth="1"/>
    <col min="8" max="8" width="12.140625" style="1" customWidth="1"/>
    <col min="9" max="9" width="12.57421875" style="1" customWidth="1"/>
    <col min="10" max="10" width="10.28125" style="1" customWidth="1"/>
    <col min="11" max="11" width="11.140625" style="1" customWidth="1"/>
    <col min="12" max="12" width="12.00390625" style="1" customWidth="1"/>
    <col min="13" max="13" width="11.57421875" style="1" customWidth="1"/>
    <col min="14" max="14" width="14.421875" style="1" customWidth="1"/>
    <col min="15" max="15" width="14.7109375" style="1" bestFit="1" customWidth="1"/>
    <col min="16" max="16" width="10.28125" style="1" bestFit="1" customWidth="1"/>
    <col min="17" max="17" width="11.00390625" style="1" customWidth="1"/>
    <col min="18" max="18" width="11.7109375" style="1" customWidth="1"/>
    <col min="19" max="19" width="10.8515625" style="1" customWidth="1"/>
    <col min="20" max="22" width="9.28125" style="1" bestFit="1" customWidth="1"/>
    <col min="23" max="24" width="12.421875" style="1" customWidth="1"/>
    <col min="25" max="25" width="9.28125" style="1" bestFit="1" customWidth="1"/>
    <col min="26" max="26" width="11.00390625" style="1" customWidth="1"/>
    <col min="27" max="28" width="12.00390625" style="1" customWidth="1"/>
    <col min="29" max="29" width="13.57421875" style="1" customWidth="1"/>
    <col min="30" max="30" width="11.421875" style="1" customWidth="1"/>
    <col min="31" max="31" width="10.7109375" style="1" customWidth="1"/>
    <col min="32" max="32" width="9.28125" style="1" bestFit="1" customWidth="1"/>
    <col min="33" max="33" width="11.140625" style="1" customWidth="1"/>
    <col min="34" max="34" width="11.00390625" style="1" customWidth="1"/>
    <col min="35" max="35" width="12.28125" style="1" customWidth="1"/>
    <col min="36" max="36" width="9.421875" style="1" customWidth="1"/>
    <col min="37" max="37" width="12.421875" style="1" customWidth="1"/>
    <col min="38" max="39" width="13.7109375" style="1" customWidth="1"/>
    <col min="40" max="40" width="13.28125" style="1" customWidth="1"/>
    <col min="41" max="42" width="8.7109375" style="1" customWidth="1"/>
    <col min="43" max="43" width="10.28125" style="1" customWidth="1"/>
    <col min="44" max="44" width="11.8515625" style="1" customWidth="1"/>
    <col min="45" max="45" width="13.140625" style="1" customWidth="1"/>
    <col min="46" max="48" width="8.7109375" style="1" customWidth="1"/>
    <col min="49" max="49" width="13.57421875" style="1" customWidth="1"/>
    <col min="50" max="50" width="11.8515625" style="1" customWidth="1"/>
    <col min="51" max="51" width="13.28125" style="1" customWidth="1"/>
    <col min="52" max="52" width="13.7109375" style="1" customWidth="1"/>
    <col min="53" max="53" width="14.00390625" style="1" customWidth="1"/>
    <col min="54" max="54" width="10.8515625" style="1" customWidth="1"/>
    <col min="55" max="55" width="11.7109375" style="1" customWidth="1"/>
    <col min="56" max="56" width="15.00390625" style="1" customWidth="1"/>
    <col min="57" max="57" width="18.7109375" style="1" customWidth="1"/>
    <col min="58" max="58" width="17.421875" style="1" customWidth="1"/>
    <col min="59" max="59" width="15.28125" style="1" customWidth="1"/>
    <col min="60" max="60" width="15.00390625" style="1" customWidth="1"/>
    <col min="61" max="61" width="15.28125" style="1" customWidth="1"/>
    <col min="62" max="63" width="11.421875" style="1" customWidth="1"/>
    <col min="64" max="64" width="12.00390625" style="1" customWidth="1"/>
    <col min="65" max="65" width="12.7109375" style="1" customWidth="1"/>
    <col min="66" max="67" width="8.7109375" style="1" customWidth="1"/>
    <col min="68" max="68" width="16.28125" style="1" customWidth="1"/>
    <col min="69" max="78" width="8.7109375" style="1" customWidth="1"/>
    <col min="79" max="79" width="12.421875" style="1" customWidth="1"/>
    <col min="80" max="80" width="12.8515625" style="1" customWidth="1"/>
    <col min="81" max="81" width="11.7109375" style="1" customWidth="1"/>
    <col min="82" max="82" width="12.8515625" style="1" customWidth="1"/>
    <col min="83" max="83" width="13.140625" style="1" customWidth="1"/>
    <col min="84" max="16384" width="8.7109375" style="1" customWidth="1"/>
  </cols>
  <sheetData>
    <row r="1" spans="3:13" ht="21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3:13" ht="15">
      <c r="C2" s="46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3:13" ht="15">
      <c r="C3" s="4"/>
      <c r="D3" s="46" t="s">
        <v>2</v>
      </c>
      <c r="E3" s="4"/>
      <c r="F3" s="4"/>
      <c r="G3" s="4"/>
      <c r="H3" s="4"/>
      <c r="I3" s="4"/>
      <c r="J3" s="4"/>
      <c r="K3" s="4"/>
      <c r="L3" s="4"/>
      <c r="M3" s="4"/>
    </row>
    <row r="4" spans="3:62" ht="15">
      <c r="C4" s="4"/>
      <c r="D4" s="46" t="s">
        <v>152</v>
      </c>
      <c r="E4" s="4"/>
      <c r="F4" s="4"/>
      <c r="G4" s="4"/>
      <c r="H4" s="4"/>
      <c r="I4" s="4"/>
      <c r="J4" s="4"/>
      <c r="K4" s="4"/>
      <c r="L4" s="4"/>
      <c r="M4" s="4"/>
      <c r="BF4" s="1" t="s">
        <v>3</v>
      </c>
      <c r="BG4" s="5">
        <v>0.53391248858368</v>
      </c>
      <c r="BH4" s="5">
        <v>0.48212498731520004</v>
      </c>
      <c r="BI4" s="5">
        <v>0.43033748604671995</v>
      </c>
      <c r="BJ4" s="5">
        <v>0.3785499847782401</v>
      </c>
    </row>
    <row r="5" spans="1:6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BF5" s="1">
        <v>33</v>
      </c>
      <c r="BG5" s="5">
        <v>0.3315457725765069</v>
      </c>
      <c r="BH5" s="5">
        <v>0.3208775473152</v>
      </c>
      <c r="BI5" s="5">
        <v>0.3102093220538931</v>
      </c>
      <c r="BJ5" s="5">
        <v>0.2995410967925863</v>
      </c>
    </row>
    <row r="7" spans="4:26" ht="15">
      <c r="D7" s="7" t="s">
        <v>4</v>
      </c>
      <c r="E7" s="8"/>
      <c r="F7" s="8"/>
      <c r="G7" s="8"/>
      <c r="H7" s="8"/>
      <c r="I7" s="8"/>
      <c r="J7" s="8"/>
      <c r="K7" s="8"/>
      <c r="L7" s="8"/>
      <c r="M7" s="8"/>
      <c r="Z7" s="9"/>
    </row>
    <row r="9" ht="15">
      <c r="F9" s="10"/>
    </row>
    <row r="10" spans="6:83" ht="17.25">
      <c r="F10" s="11" t="s">
        <v>5</v>
      </c>
      <c r="G10" s="5"/>
      <c r="H10" s="5"/>
      <c r="I10" s="5"/>
      <c r="J10" s="5"/>
      <c r="W10" s="10"/>
      <c r="X10" s="10"/>
      <c r="BE10" s="45" t="s">
        <v>6</v>
      </c>
      <c r="BF10" s="14"/>
      <c r="BG10" s="14"/>
      <c r="BH10" s="14"/>
      <c r="BJ10" s="45" t="s">
        <v>118</v>
      </c>
      <c r="BK10" s="14"/>
      <c r="BL10" s="13"/>
      <c r="BM10" s="14"/>
      <c r="CA10" s="14"/>
      <c r="CB10" s="45" t="s">
        <v>7</v>
      </c>
      <c r="CC10" s="14"/>
      <c r="CD10" s="14"/>
      <c r="CE10" s="14"/>
    </row>
    <row r="11" spans="6:79" ht="15">
      <c r="F11" s="5"/>
      <c r="G11" s="5"/>
      <c r="H11" s="5"/>
      <c r="I11" s="5"/>
      <c r="J11" s="5"/>
      <c r="BD11" s="15" t="s">
        <v>8</v>
      </c>
      <c r="BJ11" s="14"/>
      <c r="BK11" s="14"/>
      <c r="BL11" s="14"/>
      <c r="BM11" s="14"/>
      <c r="CA11" s="1" t="s">
        <v>8</v>
      </c>
    </row>
    <row r="12" spans="56:83" ht="15">
      <c r="BD12" s="1" t="s">
        <v>9</v>
      </c>
      <c r="BE12" s="1">
        <v>3</v>
      </c>
      <c r="BF12" s="1">
        <v>5</v>
      </c>
      <c r="BG12" s="1">
        <v>8</v>
      </c>
      <c r="BH12" s="1">
        <v>11</v>
      </c>
      <c r="BI12" s="1" t="s">
        <v>9</v>
      </c>
      <c r="BJ12" s="1">
        <v>3</v>
      </c>
      <c r="BK12" s="1">
        <v>5</v>
      </c>
      <c r="BL12" s="1">
        <v>8</v>
      </c>
      <c r="BM12" s="1">
        <v>11</v>
      </c>
      <c r="CA12" s="1" t="s">
        <v>9</v>
      </c>
      <c r="CB12" s="1">
        <v>3</v>
      </c>
      <c r="CC12" s="1">
        <v>5</v>
      </c>
      <c r="CD12" s="1">
        <v>8</v>
      </c>
      <c r="CE12" s="1">
        <v>11</v>
      </c>
    </row>
    <row r="13" spans="2:63" ht="15">
      <c r="B13" s="48" t="s">
        <v>71</v>
      </c>
      <c r="C13" s="49"/>
      <c r="D13" s="49"/>
      <c r="F13" s="16"/>
      <c r="G13" s="17" t="s">
        <v>10</v>
      </c>
      <c r="H13" s="16"/>
      <c r="I13" s="16"/>
      <c r="J13" s="16"/>
      <c r="K13" s="16"/>
      <c r="L13" s="6"/>
      <c r="M13" s="18"/>
      <c r="N13" s="18"/>
      <c r="O13" s="19" t="s">
        <v>11</v>
      </c>
      <c r="P13" s="18"/>
      <c r="Q13" s="18"/>
      <c r="R13" s="18"/>
      <c r="S13" s="19"/>
      <c r="T13" s="18"/>
      <c r="U13" s="18"/>
      <c r="W13" s="20"/>
      <c r="X13" s="20"/>
      <c r="Y13" s="21" t="s">
        <v>12</v>
      </c>
      <c r="Z13" s="20"/>
      <c r="AA13" s="20"/>
      <c r="AB13" s="20"/>
      <c r="AC13" s="20"/>
      <c r="AD13" s="21" t="s">
        <v>12</v>
      </c>
      <c r="AE13" s="20"/>
      <c r="AF13" s="20"/>
      <c r="AG13" s="20"/>
      <c r="AH13" s="21" t="s">
        <v>12</v>
      </c>
      <c r="AI13" s="20"/>
      <c r="AJ13" s="20"/>
      <c r="AK13" s="20"/>
      <c r="AL13" s="20"/>
      <c r="AM13" s="20"/>
      <c r="AN13" s="14"/>
      <c r="AO13" s="14"/>
      <c r="AP13" s="14"/>
      <c r="AQ13" s="14"/>
      <c r="AR13" s="14"/>
      <c r="AS13" s="14"/>
      <c r="AT13" s="6"/>
      <c r="AU13" s="6"/>
      <c r="AV13" s="8"/>
      <c r="AW13" s="7" t="s">
        <v>134</v>
      </c>
      <c r="AX13" s="8"/>
      <c r="AY13" s="8"/>
      <c r="AZ13" s="8"/>
      <c r="BA13" s="8"/>
      <c r="BB13" s="8"/>
      <c r="BC13" s="6"/>
      <c r="BD13" s="6"/>
      <c r="BE13" s="6"/>
      <c r="BF13" s="6"/>
      <c r="BG13" s="6"/>
      <c r="BH13" s="6"/>
      <c r="BI13" s="6"/>
      <c r="BJ13" s="6"/>
      <c r="BK13" s="6"/>
    </row>
    <row r="14" spans="1:71" ht="15">
      <c r="A14" s="10"/>
      <c r="B14" s="10"/>
      <c r="C14" s="10"/>
      <c r="D14" s="10"/>
      <c r="E14" s="10"/>
      <c r="F14" s="10"/>
      <c r="G14" s="10"/>
      <c r="H14" s="10" t="s">
        <v>120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55" t="s">
        <v>150</v>
      </c>
      <c r="T14" s="10"/>
      <c r="U14" s="10"/>
      <c r="V14" s="10"/>
      <c r="W14" s="10"/>
      <c r="X14" s="10"/>
      <c r="Y14" s="10"/>
      <c r="Z14" s="10"/>
      <c r="AA14" s="10"/>
      <c r="AB14" s="10" t="s">
        <v>13</v>
      </c>
      <c r="AC14" s="10" t="s">
        <v>14</v>
      </c>
      <c r="AD14" s="10"/>
      <c r="AE14" s="10"/>
      <c r="AF14" s="10" t="s">
        <v>15</v>
      </c>
      <c r="AG14" s="10" t="s">
        <v>15</v>
      </c>
      <c r="AH14" s="10" t="s">
        <v>16</v>
      </c>
      <c r="AI14" s="10" t="s">
        <v>16</v>
      </c>
      <c r="AJ14" s="10" t="s">
        <v>17</v>
      </c>
      <c r="AK14" s="10" t="s">
        <v>18</v>
      </c>
      <c r="AL14" s="10"/>
      <c r="AM14" s="10" t="s">
        <v>19</v>
      </c>
      <c r="AN14" s="10"/>
      <c r="AO14" s="10" t="s">
        <v>20</v>
      </c>
      <c r="AP14" s="10" t="s">
        <v>20</v>
      </c>
      <c r="AQ14" s="10"/>
      <c r="AR14" s="10"/>
      <c r="BO14" s="14" t="s">
        <v>21</v>
      </c>
      <c r="BP14" s="14"/>
      <c r="BQ14" s="14"/>
      <c r="BR14" s="14"/>
      <c r="BS14" s="14"/>
    </row>
    <row r="15" spans="2:83" ht="15">
      <c r="B15" s="10"/>
      <c r="C15" s="10" t="s">
        <v>22</v>
      </c>
      <c r="D15" s="10">
        <v>2149</v>
      </c>
      <c r="E15" s="10"/>
      <c r="F15" s="10" t="s">
        <v>102</v>
      </c>
      <c r="G15" s="10" t="s">
        <v>68</v>
      </c>
      <c r="H15" s="11" t="s">
        <v>132</v>
      </c>
      <c r="I15" s="11" t="s">
        <v>15</v>
      </c>
      <c r="J15" s="11" t="s">
        <v>23</v>
      </c>
      <c r="K15" s="11" t="s">
        <v>24</v>
      </c>
      <c r="L15" s="11"/>
      <c r="M15" s="11" t="s">
        <v>25</v>
      </c>
      <c r="N15" s="11" t="s">
        <v>26</v>
      </c>
      <c r="O15" s="11" t="s">
        <v>27</v>
      </c>
      <c r="P15" s="10" t="s">
        <v>28</v>
      </c>
      <c r="Q15" s="10"/>
      <c r="R15" s="10" t="s">
        <v>29</v>
      </c>
      <c r="S15" s="55" t="s">
        <v>151</v>
      </c>
      <c r="T15" s="10" t="s">
        <v>23</v>
      </c>
      <c r="U15" s="10" t="s">
        <v>31</v>
      </c>
      <c r="V15" s="10"/>
      <c r="W15" s="10" t="s">
        <v>32</v>
      </c>
      <c r="X15" s="10" t="s">
        <v>32</v>
      </c>
      <c r="Y15" s="10" t="s">
        <v>32</v>
      </c>
      <c r="Z15" s="10" t="s">
        <v>33</v>
      </c>
      <c r="AA15" s="10" t="s">
        <v>34</v>
      </c>
      <c r="AB15" s="10" t="s">
        <v>34</v>
      </c>
      <c r="AC15" s="10" t="s">
        <v>35</v>
      </c>
      <c r="AD15" s="10" t="s">
        <v>14</v>
      </c>
      <c r="AE15" s="10" t="s">
        <v>36</v>
      </c>
      <c r="AF15" s="10" t="s">
        <v>37</v>
      </c>
      <c r="AG15" s="10" t="s">
        <v>38</v>
      </c>
      <c r="AH15" s="10" t="s">
        <v>39</v>
      </c>
      <c r="AI15" s="10" t="s">
        <v>40</v>
      </c>
      <c r="AJ15" s="10" t="s">
        <v>41</v>
      </c>
      <c r="AK15" s="10" t="s">
        <v>17</v>
      </c>
      <c r="AL15" s="10" t="s">
        <v>42</v>
      </c>
      <c r="AM15" s="10" t="s">
        <v>43</v>
      </c>
      <c r="AN15" s="10" t="s">
        <v>44</v>
      </c>
      <c r="AO15" s="51" t="s">
        <v>45</v>
      </c>
      <c r="AP15" s="51" t="s">
        <v>46</v>
      </c>
      <c r="AQ15" s="10" t="s">
        <v>47</v>
      </c>
      <c r="AR15" s="10" t="s">
        <v>47</v>
      </c>
      <c r="BD15" s="23">
        <v>64</v>
      </c>
      <c r="BE15" s="23"/>
      <c r="BF15" s="23"/>
      <c r="BG15" s="23"/>
      <c r="BH15" s="23"/>
      <c r="BI15" s="23">
        <v>64</v>
      </c>
      <c r="BJ15" s="24"/>
      <c r="BK15" s="24"/>
      <c r="BL15" s="24"/>
      <c r="BM15" s="24"/>
      <c r="BO15" s="1" t="s">
        <v>48</v>
      </c>
      <c r="BP15" s="1">
        <v>4.400578942714525</v>
      </c>
      <c r="BQ15" s="1">
        <v>4.467090819542724</v>
      </c>
      <c r="BR15" s="1">
        <v>4.536554943316837</v>
      </c>
      <c r="BS15" s="1">
        <v>4.609178693124358</v>
      </c>
      <c r="CA15" s="1">
        <v>64</v>
      </c>
      <c r="CB15" s="23"/>
      <c r="CC15" s="23"/>
      <c r="CD15" s="23"/>
      <c r="CE15" s="23"/>
    </row>
    <row r="16" spans="2:83" ht="17.25">
      <c r="B16" s="10" t="s">
        <v>49</v>
      </c>
      <c r="C16" s="10" t="s">
        <v>50</v>
      </c>
      <c r="D16" s="10" t="s">
        <v>51</v>
      </c>
      <c r="E16" s="10"/>
      <c r="F16" s="52" t="s">
        <v>131</v>
      </c>
      <c r="G16" s="52" t="s">
        <v>131</v>
      </c>
      <c r="H16" s="52" t="s">
        <v>52</v>
      </c>
      <c r="I16" s="11" t="s">
        <v>53</v>
      </c>
      <c r="J16" s="11" t="s">
        <v>54</v>
      </c>
      <c r="K16" s="11" t="s">
        <v>55</v>
      </c>
      <c r="L16" s="11"/>
      <c r="M16" s="10" t="s">
        <v>56</v>
      </c>
      <c r="N16" s="10" t="s">
        <v>57</v>
      </c>
      <c r="O16" s="10" t="s">
        <v>14</v>
      </c>
      <c r="P16" s="10" t="s">
        <v>58</v>
      </c>
      <c r="Q16" s="10" t="s">
        <v>59</v>
      </c>
      <c r="R16" s="10"/>
      <c r="S16" s="10">
        <v>10</v>
      </c>
      <c r="T16" s="10" t="s">
        <v>60</v>
      </c>
      <c r="U16" s="10" t="s">
        <v>15</v>
      </c>
      <c r="V16" s="10"/>
      <c r="W16" s="10" t="s">
        <v>61</v>
      </c>
      <c r="X16" s="10" t="s">
        <v>61</v>
      </c>
      <c r="Y16" s="10" t="s">
        <v>17</v>
      </c>
      <c r="Z16" s="10" t="s">
        <v>17</v>
      </c>
      <c r="AA16" s="10" t="s">
        <v>62</v>
      </c>
      <c r="AB16" s="10" t="s">
        <v>62</v>
      </c>
      <c r="AC16" s="10" t="s">
        <v>62</v>
      </c>
      <c r="AD16" s="10" t="s">
        <v>36</v>
      </c>
      <c r="AE16" s="10" t="s">
        <v>14</v>
      </c>
      <c r="AF16" s="10"/>
      <c r="AG16" s="10"/>
      <c r="AH16" s="10" t="s">
        <v>63</v>
      </c>
      <c r="AI16" s="10" t="s">
        <v>64</v>
      </c>
      <c r="AJ16" s="10"/>
      <c r="AK16" s="10" t="s">
        <v>38</v>
      </c>
      <c r="AL16" s="10"/>
      <c r="AM16" s="10" t="s">
        <v>44</v>
      </c>
      <c r="AN16" s="10" t="s">
        <v>65</v>
      </c>
      <c r="AO16" s="10"/>
      <c r="AP16" s="10"/>
      <c r="AQ16" s="10" t="s">
        <v>66</v>
      </c>
      <c r="AR16" s="10" t="s">
        <v>67</v>
      </c>
      <c r="BD16" s="23">
        <v>62</v>
      </c>
      <c r="BE16" s="23"/>
      <c r="BF16" s="23"/>
      <c r="BG16" s="23"/>
      <c r="BH16" s="23"/>
      <c r="BI16" s="23">
        <v>62</v>
      </c>
      <c r="BO16" s="1" t="s">
        <v>3</v>
      </c>
      <c r="BP16" s="5">
        <v>0.53391248858368</v>
      </c>
      <c r="BQ16" s="5">
        <v>0.48212498731520004</v>
      </c>
      <c r="BR16" s="5">
        <v>0.43033748604671995</v>
      </c>
      <c r="BS16" s="5">
        <v>0.3785499847782401</v>
      </c>
      <c r="BU16" s="45" t="s">
        <v>69</v>
      </c>
      <c r="BV16" s="14"/>
      <c r="BW16" s="14"/>
      <c r="CA16" s="1">
        <v>62</v>
      </c>
      <c r="CB16" s="23"/>
      <c r="CC16" s="23"/>
      <c r="CD16" s="23"/>
      <c r="CE16" s="23"/>
    </row>
    <row r="17" spans="2:83" ht="15">
      <c r="B17" s="10"/>
      <c r="C17" s="10"/>
      <c r="D17" s="10" t="s">
        <v>70</v>
      </c>
      <c r="E17" s="10"/>
      <c r="F17" s="10"/>
      <c r="G17" s="10"/>
      <c r="H17" s="10"/>
      <c r="I17" s="53" t="s">
        <v>119</v>
      </c>
      <c r="J17" s="11"/>
      <c r="K17" s="11"/>
      <c r="L17" s="11"/>
      <c r="M17" s="10" t="s">
        <v>52</v>
      </c>
      <c r="N17" s="10" t="s">
        <v>52</v>
      </c>
      <c r="O17" s="10" t="s">
        <v>52</v>
      </c>
      <c r="P17" s="10" t="s">
        <v>52</v>
      </c>
      <c r="Q17" s="10" t="s">
        <v>65</v>
      </c>
      <c r="R17" s="10" t="s">
        <v>72</v>
      </c>
      <c r="S17" s="10" t="s">
        <v>52</v>
      </c>
      <c r="T17" s="10"/>
      <c r="U17" s="10" t="s">
        <v>72</v>
      </c>
      <c r="V17" s="10"/>
      <c r="W17" s="10" t="s">
        <v>73</v>
      </c>
      <c r="X17" s="10" t="s">
        <v>74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 t="s">
        <v>75</v>
      </c>
      <c r="AR17" s="10" t="s">
        <v>76</v>
      </c>
      <c r="BD17" s="23">
        <v>60</v>
      </c>
      <c r="BE17" s="23"/>
      <c r="BF17" s="23"/>
      <c r="BG17" s="23"/>
      <c r="BH17" s="23"/>
      <c r="BI17" s="23">
        <v>60</v>
      </c>
      <c r="BO17" s="1" t="s">
        <v>77</v>
      </c>
      <c r="BP17" s="1">
        <v>0.9</v>
      </c>
      <c r="BQ17" s="1">
        <v>1</v>
      </c>
      <c r="BR17" s="1">
        <v>1.1</v>
      </c>
      <c r="BS17" s="1">
        <v>1.2</v>
      </c>
      <c r="BU17" s="1" t="s">
        <v>78</v>
      </c>
      <c r="CA17" s="1">
        <v>60</v>
      </c>
      <c r="CB17" s="23"/>
      <c r="CC17" s="23"/>
      <c r="CD17" s="23"/>
      <c r="CE17" s="23"/>
    </row>
    <row r="18" spans="2:83" ht="15">
      <c r="B18" s="1">
        <v>1</v>
      </c>
      <c r="C18" s="1" t="s">
        <v>102</v>
      </c>
      <c r="D18" s="1">
        <v>66</v>
      </c>
      <c r="F18" s="5">
        <v>0.8462727272727272</v>
      </c>
      <c r="G18" s="5">
        <v>0.04301515151515151</v>
      </c>
      <c r="H18" s="5">
        <v>2.08</v>
      </c>
      <c r="I18" s="5">
        <v>1</v>
      </c>
      <c r="J18" s="5">
        <v>0</v>
      </c>
      <c r="K18" s="5">
        <v>0</v>
      </c>
      <c r="L18" s="5"/>
      <c r="M18" s="5">
        <f aca="true" t="shared" si="0" ref="M18:M28">X18</f>
        <v>0.04182369724396695</v>
      </c>
      <c r="N18" s="5">
        <f aca="true" t="shared" si="1" ref="N18:N28">AJ18</f>
        <v>0.1002115172030591</v>
      </c>
      <c r="O18" s="5">
        <f aca="true" t="shared" si="2" ref="O18:O28">AH18</f>
        <v>0.4533109369999958</v>
      </c>
      <c r="P18" s="5">
        <f aca="true" t="shared" si="3" ref="P18:P28">(N18-M18)*(1-T18)</f>
        <v>0.058387819959092147</v>
      </c>
      <c r="Q18" s="5">
        <f aca="true" t="shared" si="4" ref="Q18:Q28">AN18</f>
        <v>107.83391229127439</v>
      </c>
      <c r="R18" s="5">
        <f aca="true" t="shared" si="5" ref="R18:R28">AG18</f>
        <v>1.4487260169500111</v>
      </c>
      <c r="S18" s="5">
        <f aca="true" t="shared" si="6" ref="S18:S28">N18-(S$16-33)*(O18-N18)/(33-AR18)</f>
        <v>0.34486239523748685</v>
      </c>
      <c r="T18" s="5">
        <f aca="true" t="shared" si="7" ref="T18:T28">((R18/2.65)*J18)/(1-J18*(1-R18/2.65))</f>
        <v>0</v>
      </c>
      <c r="U18" s="5">
        <f aca="true" t="shared" si="8" ref="U18:U28">T18*2.65+(1-T18)*R18</f>
        <v>1.4487260169500111</v>
      </c>
      <c r="W18" s="5">
        <f aca="true" t="shared" si="9" ref="W18:W28">-0.024*F18+0.487*G18+0.006*H18+0.005*F18*H18-0.013*G18*H18+0.068*F18*G18+0.031</f>
        <v>0.05423131337190083</v>
      </c>
      <c r="X18" s="5">
        <f aca="true" t="shared" si="10" ref="X18:X28">W18+0.14*W18-0.02</f>
        <v>0.04182369724396695</v>
      </c>
      <c r="Y18" s="25">
        <f aca="true" t="shared" si="11" ref="Y18:Y28">-0.251*F18+0.195*G18+0.011*H18+0.006*F18*H18-0.027*G18*H18+0.452*F18*G18+0.299</f>
        <v>0.1424532051404959</v>
      </c>
      <c r="Z18" s="25">
        <f aca="true" t="shared" si="12" ref="Z18:Z28">Y18+(1.283*Y18*Y18-0.374*Y18-0.015)</f>
        <v>0.1002115172030591</v>
      </c>
      <c r="AA18" s="5">
        <f aca="true" t="shared" si="13" ref="AA18:AA28">0.278*F18+0.034*G18+0.022*H18-0.018*F18*H18-0.027*G18*H18-0.584*F18*G18+0.078</f>
        <v>0.30512706255647387</v>
      </c>
      <c r="AB18" s="5">
        <f aca="true" t="shared" si="14" ref="AB18:AB28">AA18+(0.636*AA18-0.107)</f>
        <v>0.3921878743423913</v>
      </c>
      <c r="AC18" s="5">
        <f aca="true" t="shared" si="15" ref="AC18:AC28">AB18+Z18</f>
        <v>0.49239939154545037</v>
      </c>
      <c r="AD18" s="25">
        <f aca="true" t="shared" si="16" ref="AD18:AD28">-0.097*F18+0.043</f>
        <v>-0.03908845454545454</v>
      </c>
      <c r="AE18" s="5">
        <f aca="true" t="shared" si="17" ref="AE18:AE28">AC18+AD18</f>
        <v>0.4533109369999958</v>
      </c>
      <c r="AF18" s="5">
        <f aca="true" t="shared" si="18" ref="AF18:AF28">(1-AE18)*2.65</f>
        <v>1.4487260169500111</v>
      </c>
      <c r="AG18" s="5">
        <f aca="true" t="shared" si="19" ref="AG18:AG28">AF18*(I18)</f>
        <v>1.4487260169500111</v>
      </c>
      <c r="AH18" s="5">
        <f aca="true" t="shared" si="20" ref="AH18:AH28">1-(AG18/2.65)</f>
        <v>0.4533109369999958</v>
      </c>
      <c r="AI18" s="25">
        <f aca="true" t="shared" si="21" ref="AI18:AI28">(1-AG18/2.65)-(1-AF18/2.65)</f>
        <v>0</v>
      </c>
      <c r="AJ18" s="25">
        <f aca="true" t="shared" si="22" ref="AJ18:AJ28">Z18+0.2*AI18</f>
        <v>0.1002115172030591</v>
      </c>
      <c r="AK18" s="25">
        <f aca="true" t="shared" si="23" ref="AK18:AK28">AH18-AJ18</f>
        <v>0.3530994197969367</v>
      </c>
      <c r="AL18" s="25">
        <f aca="true" t="shared" si="24" ref="AL18:AL28">(LN(AJ18)-LN(X18))/(LN(1500)-LN(33))</f>
        <v>0.22894570943894135</v>
      </c>
      <c r="AM18" s="25">
        <f aca="true" t="shared" si="25" ref="AM18:AM28">(1-J18)/(1-J18*(1-1.5*(R18/2.65)))</f>
        <v>1</v>
      </c>
      <c r="AN18" s="26">
        <f aca="true" t="shared" si="26" ref="AN18:AN28">1930*(AK18)^(3-AL18)*AM18</f>
        <v>107.83391229127439</v>
      </c>
      <c r="AO18" s="5">
        <f aca="true" t="shared" si="27" ref="AO18:AO28">(LN(1500)-LN(33))/(LN(AJ18)-LN(X18))</f>
        <v>4.367847741941174</v>
      </c>
      <c r="AP18" s="25">
        <f aca="true" t="shared" si="28" ref="AP18:AP28">EXP(LN(33)+(AO18*LN(AJ18)))</f>
        <v>0.001427822753120249</v>
      </c>
      <c r="AQ18" s="26">
        <f aca="true" t="shared" si="29" ref="AQ18:AQ28">-21.674*$F18-27.932*$G18-81.975*$AK18+71.121*$F18*$AK18+8.294*$G18*$AK18+14.05*$F18*$G18+27.161</f>
        <v>0.5617551026880712</v>
      </c>
      <c r="AR18" s="26">
        <f aca="true" t="shared" si="30" ref="AR18:AR28">AQ18+(0.02*AQ18^2-0.113*AQ18-0.7)</f>
        <v>-0.19541184800775913</v>
      </c>
      <c r="AS18" s="5"/>
      <c r="AV18" s="1" t="s">
        <v>79</v>
      </c>
      <c r="AX18" s="1">
        <v>3</v>
      </c>
      <c r="AY18" s="1">
        <v>5</v>
      </c>
      <c r="AZ18" s="1">
        <v>8</v>
      </c>
      <c r="BA18" s="1">
        <v>11</v>
      </c>
      <c r="BD18" s="23">
        <v>58</v>
      </c>
      <c r="BE18" s="23"/>
      <c r="BF18" s="23"/>
      <c r="BG18" s="23"/>
      <c r="BH18" s="23"/>
      <c r="BI18" s="23">
        <v>58</v>
      </c>
      <c r="BO18" s="1" t="s">
        <v>80</v>
      </c>
      <c r="BQ18" s="1" t="s">
        <v>81</v>
      </c>
      <c r="CA18" s="1">
        <v>58</v>
      </c>
      <c r="CB18" s="23"/>
      <c r="CC18" s="23"/>
      <c r="CD18" s="23"/>
      <c r="CE18" s="23"/>
    </row>
    <row r="19" spans="2:83" ht="15">
      <c r="B19" s="1">
        <v>2</v>
      </c>
      <c r="C19" s="1" t="s">
        <v>121</v>
      </c>
      <c r="D19" s="1">
        <v>32</v>
      </c>
      <c r="F19" s="5">
        <v>0.8024375</v>
      </c>
      <c r="G19" s="5">
        <v>0.051656249999999994</v>
      </c>
      <c r="H19" s="5">
        <v>2.32793875</v>
      </c>
      <c r="I19" s="5">
        <v>1</v>
      </c>
      <c r="J19" s="5">
        <v>0</v>
      </c>
      <c r="K19" s="5">
        <v>0</v>
      </c>
      <c r="L19" s="5"/>
      <c r="M19" s="5">
        <f t="shared" si="0"/>
        <v>0.05006580380539609</v>
      </c>
      <c r="N19" s="5">
        <f t="shared" si="1"/>
        <v>0.11796917189514419</v>
      </c>
      <c r="O19" s="5">
        <f t="shared" si="2"/>
        <v>0.4554316236252435</v>
      </c>
      <c r="P19" s="5">
        <f t="shared" si="3"/>
        <v>0.0679033680897481</v>
      </c>
      <c r="Q19" s="5">
        <f t="shared" si="4"/>
        <v>94.6620439864127</v>
      </c>
      <c r="R19" s="5">
        <f t="shared" si="5"/>
        <v>1.4431061973931048</v>
      </c>
      <c r="S19" s="5">
        <f t="shared" si="6"/>
        <v>0.35234459415940755</v>
      </c>
      <c r="T19" s="5">
        <f t="shared" si="7"/>
        <v>0</v>
      </c>
      <c r="U19" s="5">
        <f t="shared" si="8"/>
        <v>1.4431061973931048</v>
      </c>
      <c r="W19" s="5">
        <f t="shared" si="9"/>
        <v>0.06146123140824218</v>
      </c>
      <c r="X19" s="5">
        <f t="shared" si="10"/>
        <v>0.05006580380539609</v>
      </c>
      <c r="Y19" s="25">
        <f t="shared" si="11"/>
        <v>0.15996562705417966</v>
      </c>
      <c r="Z19" s="25">
        <f t="shared" si="12"/>
        <v>0.11796917189514419</v>
      </c>
      <c r="AA19" s="5">
        <f t="shared" si="13"/>
        <v>0.29296998119199225</v>
      </c>
      <c r="AB19" s="5">
        <f t="shared" si="14"/>
        <v>0.3722988892300993</v>
      </c>
      <c r="AC19" s="5">
        <f t="shared" si="15"/>
        <v>0.49026806112524346</v>
      </c>
      <c r="AD19" s="25">
        <f t="shared" si="16"/>
        <v>-0.03483643750000001</v>
      </c>
      <c r="AE19" s="5">
        <f t="shared" si="17"/>
        <v>0.4554316236252435</v>
      </c>
      <c r="AF19" s="5">
        <f t="shared" si="18"/>
        <v>1.4431061973931048</v>
      </c>
      <c r="AG19" s="5">
        <f t="shared" si="19"/>
        <v>1.4431061973931048</v>
      </c>
      <c r="AH19" s="5">
        <f t="shared" si="20"/>
        <v>0.4554316236252435</v>
      </c>
      <c r="AI19" s="25">
        <f t="shared" si="21"/>
        <v>0</v>
      </c>
      <c r="AJ19" s="25">
        <f t="shared" si="22"/>
        <v>0.11796917189514419</v>
      </c>
      <c r="AK19" s="25">
        <f t="shared" si="23"/>
        <v>0.33746245173009926</v>
      </c>
      <c r="AL19" s="25">
        <f t="shared" si="24"/>
        <v>0.22456107076895934</v>
      </c>
      <c r="AM19" s="25">
        <f t="shared" si="25"/>
        <v>1</v>
      </c>
      <c r="AN19" s="26">
        <f t="shared" si="26"/>
        <v>94.6620439864127</v>
      </c>
      <c r="AO19" s="5">
        <f t="shared" si="27"/>
        <v>4.453131598347491</v>
      </c>
      <c r="AP19" s="25">
        <f t="shared" si="28"/>
        <v>0.002426481887704965</v>
      </c>
      <c r="AQ19" s="26">
        <f t="shared" si="29"/>
        <v>0.6486247133838283</v>
      </c>
      <c r="AR19" s="26">
        <f t="shared" si="30"/>
        <v>-0.11625559885229919</v>
      </c>
      <c r="AS19" s="5"/>
      <c r="BB19" s="5"/>
      <c r="BD19" s="23">
        <v>56</v>
      </c>
      <c r="BE19" s="23"/>
      <c r="BF19" s="23"/>
      <c r="BG19" s="23"/>
      <c r="BH19" s="23"/>
      <c r="BI19" s="23">
        <v>56</v>
      </c>
      <c r="BU19" s="1" t="s">
        <v>82</v>
      </c>
      <c r="BV19" s="1" t="s">
        <v>60</v>
      </c>
      <c r="BW19" s="1" t="s">
        <v>83</v>
      </c>
      <c r="BX19" s="1" t="s">
        <v>84</v>
      </c>
      <c r="CA19" s="1">
        <v>56</v>
      </c>
      <c r="CB19" s="23"/>
      <c r="CC19" s="23"/>
      <c r="CD19" s="23"/>
      <c r="CE19" s="23"/>
    </row>
    <row r="20" spans="2:83" ht="15">
      <c r="B20" s="1">
        <v>3</v>
      </c>
      <c r="C20" s="1" t="s">
        <v>122</v>
      </c>
      <c r="D20" s="1">
        <v>277</v>
      </c>
      <c r="F20" s="5">
        <v>0.6344548736462092</v>
      </c>
      <c r="G20" s="5">
        <v>0.10299277978339348</v>
      </c>
      <c r="H20" s="5">
        <v>2.519965198555958</v>
      </c>
      <c r="I20" s="5">
        <v>1</v>
      </c>
      <c r="J20" s="5">
        <v>0</v>
      </c>
      <c r="K20" s="5">
        <v>0</v>
      </c>
      <c r="L20" s="5"/>
      <c r="M20" s="5">
        <f t="shared" si="0"/>
        <v>0.08272972350748331</v>
      </c>
      <c r="N20" s="5">
        <f t="shared" si="1"/>
        <v>0.184431534508874</v>
      </c>
      <c r="O20" s="5">
        <f t="shared" si="2"/>
        <v>0.45050262847422984</v>
      </c>
      <c r="P20" s="5">
        <f t="shared" si="3"/>
        <v>0.1017018110013907</v>
      </c>
      <c r="Q20" s="5">
        <f t="shared" si="4"/>
        <v>48.009750860294815</v>
      </c>
      <c r="R20" s="5">
        <f t="shared" si="5"/>
        <v>1.4561680345432908</v>
      </c>
      <c r="S20" s="5">
        <f t="shared" si="6"/>
        <v>0.37585961208202656</v>
      </c>
      <c r="T20" s="5">
        <f t="shared" si="7"/>
        <v>0</v>
      </c>
      <c r="U20" s="5">
        <f t="shared" si="8"/>
        <v>1.4561680345432908</v>
      </c>
      <c r="W20" s="5">
        <f t="shared" si="9"/>
        <v>0.09011379255042395</v>
      </c>
      <c r="X20" s="5">
        <f t="shared" si="10"/>
        <v>0.08272972350748331</v>
      </c>
      <c r="Y20" s="25">
        <f t="shared" si="11"/>
        <v>0.21967593973604715</v>
      </c>
      <c r="Z20" s="25">
        <f t="shared" si="12"/>
        <v>0.184431534508874</v>
      </c>
      <c r="AA20" s="5">
        <f t="shared" si="13"/>
        <v>0.2393723818514903</v>
      </c>
      <c r="AB20" s="5">
        <f t="shared" si="14"/>
        <v>0.2846132167090381</v>
      </c>
      <c r="AC20" s="5">
        <f t="shared" si="15"/>
        <v>0.4690447512179121</v>
      </c>
      <c r="AD20" s="25">
        <f t="shared" si="16"/>
        <v>-0.018542122743682297</v>
      </c>
      <c r="AE20" s="5">
        <f t="shared" si="17"/>
        <v>0.45050262847422984</v>
      </c>
      <c r="AF20" s="5">
        <f t="shared" si="18"/>
        <v>1.4561680345432908</v>
      </c>
      <c r="AG20" s="5">
        <f t="shared" si="19"/>
        <v>1.4561680345432908</v>
      </c>
      <c r="AH20" s="5">
        <f t="shared" si="20"/>
        <v>0.45050262847422984</v>
      </c>
      <c r="AI20" s="25">
        <f t="shared" si="21"/>
        <v>0</v>
      </c>
      <c r="AJ20" s="25">
        <f t="shared" si="22"/>
        <v>0.184431534508874</v>
      </c>
      <c r="AK20" s="25">
        <f t="shared" si="23"/>
        <v>0.26607109396535583</v>
      </c>
      <c r="AL20" s="25">
        <f t="shared" si="24"/>
        <v>0.2100496928839884</v>
      </c>
      <c r="AM20" s="25">
        <f t="shared" si="25"/>
        <v>1</v>
      </c>
      <c r="AN20" s="26">
        <f t="shared" si="26"/>
        <v>48.009750860294815</v>
      </c>
      <c r="AO20" s="5">
        <f t="shared" si="27"/>
        <v>4.760778205718708</v>
      </c>
      <c r="AP20" s="25">
        <f t="shared" si="28"/>
        <v>0.010551593798214937</v>
      </c>
      <c r="AQ20" s="26">
        <f t="shared" si="29"/>
        <v>1.8731669232386423</v>
      </c>
      <c r="AR20" s="26">
        <f t="shared" si="30"/>
        <v>1.031674147358982</v>
      </c>
      <c r="AS20" s="5"/>
      <c r="AV20" s="1" t="s">
        <v>30</v>
      </c>
      <c r="AX20" s="5">
        <f>$S30</f>
        <v>0.46340688873350877</v>
      </c>
      <c r="AY20" s="5">
        <f>$S31</f>
        <v>0.4828378667433999</v>
      </c>
      <c r="AZ20" s="5">
        <f>$S32</f>
        <v>0.4669985119200473</v>
      </c>
      <c r="BA20" s="5">
        <f>$S33</f>
        <v>0.5078294276570711</v>
      </c>
      <c r="BB20" s="5"/>
      <c r="BD20" s="23">
        <f aca="true" t="shared" si="31" ref="BD20:BD25">BD19-2</f>
        <v>54</v>
      </c>
      <c r="BE20" s="23"/>
      <c r="BF20" s="23"/>
      <c r="BG20" s="23"/>
      <c r="BH20" s="23"/>
      <c r="BI20" s="23">
        <v>54</v>
      </c>
      <c r="BO20" s="1">
        <f aca="true" t="shared" si="32" ref="BO20:BO38">BI20/100/$BP$16</f>
        <v>1.0114017026132287</v>
      </c>
      <c r="BP20" s="26">
        <v>25.043627272756698</v>
      </c>
      <c r="BQ20" s="26">
        <v>12.141446393783953</v>
      </c>
      <c r="BR20" s="26">
        <v>4.558694484951423</v>
      </c>
      <c r="BS20" s="26">
        <v>0.9972375468983682</v>
      </c>
      <c r="BU20" s="5">
        <v>0</v>
      </c>
      <c r="BV20" s="5">
        <v>0</v>
      </c>
      <c r="BW20" s="5">
        <v>1.3723687836147198</v>
      </c>
      <c r="BX20" s="26">
        <v>12.141446393783953</v>
      </c>
      <c r="CA20" s="1">
        <f aca="true" t="shared" si="33" ref="CA20:CA25">CA19-2</f>
        <v>54</v>
      </c>
      <c r="CB20" s="23"/>
      <c r="CC20" s="23"/>
      <c r="CD20" s="23"/>
      <c r="CE20" s="23"/>
    </row>
    <row r="21" spans="2:83" ht="15">
      <c r="B21" s="1">
        <v>4</v>
      </c>
      <c r="C21" s="1" t="s">
        <v>123</v>
      </c>
      <c r="D21" s="1">
        <v>318</v>
      </c>
      <c r="F21" s="5">
        <v>0.41237421383647804</v>
      </c>
      <c r="G21" s="5">
        <v>0.1854779874213836</v>
      </c>
      <c r="H21" s="5">
        <v>3.055654465408804</v>
      </c>
      <c r="I21" s="5">
        <v>1</v>
      </c>
      <c r="J21" s="5">
        <v>0</v>
      </c>
      <c r="K21" s="5">
        <v>0</v>
      </c>
      <c r="L21" s="5"/>
      <c r="M21" s="5">
        <f t="shared" si="0"/>
        <v>0.13264409143084757</v>
      </c>
      <c r="N21" s="5">
        <f t="shared" si="1"/>
        <v>0.27732918565424886</v>
      </c>
      <c r="O21" s="5">
        <f t="shared" si="2"/>
        <v>0.47356583005495534</v>
      </c>
      <c r="P21" s="5">
        <f t="shared" si="3"/>
        <v>0.14468509422340128</v>
      </c>
      <c r="Q21" s="5">
        <f t="shared" si="4"/>
        <v>19.978354234713</v>
      </c>
      <c r="R21" s="5">
        <f t="shared" si="5"/>
        <v>1.3950505503543682</v>
      </c>
      <c r="S21" s="5">
        <f t="shared" si="6"/>
        <v>0.4290927903070301</v>
      </c>
      <c r="T21" s="5">
        <f t="shared" si="7"/>
        <v>0</v>
      </c>
      <c r="U21" s="5">
        <f t="shared" si="8"/>
        <v>1.3950505503543682</v>
      </c>
      <c r="W21" s="5">
        <f t="shared" si="9"/>
        <v>0.13389832581653294</v>
      </c>
      <c r="X21" s="5">
        <f t="shared" si="10"/>
        <v>0.13264409143084757</v>
      </c>
      <c r="Y21" s="25">
        <f t="shared" si="11"/>
        <v>0.29210431368738893</v>
      </c>
      <c r="Z21" s="25">
        <f t="shared" si="12"/>
        <v>0.27732918565424886</v>
      </c>
      <c r="AA21" s="5">
        <f t="shared" si="13"/>
        <v>0.18351891390149438</v>
      </c>
      <c r="AB21" s="5">
        <f t="shared" si="14"/>
        <v>0.1932369431428448</v>
      </c>
      <c r="AC21" s="5">
        <f t="shared" si="15"/>
        <v>0.4705661287970937</v>
      </c>
      <c r="AD21" s="25">
        <f t="shared" si="16"/>
        <v>0.0029997012578616283</v>
      </c>
      <c r="AE21" s="5">
        <f t="shared" si="17"/>
        <v>0.47356583005495534</v>
      </c>
      <c r="AF21" s="5">
        <f t="shared" si="18"/>
        <v>1.3950505503543682</v>
      </c>
      <c r="AG21" s="5">
        <f t="shared" si="19"/>
        <v>1.3950505503543682</v>
      </c>
      <c r="AH21" s="5">
        <f t="shared" si="20"/>
        <v>0.47356583005495534</v>
      </c>
      <c r="AI21" s="25">
        <f t="shared" si="21"/>
        <v>0</v>
      </c>
      <c r="AJ21" s="25">
        <f t="shared" si="22"/>
        <v>0.27732918565424886</v>
      </c>
      <c r="AK21" s="25">
        <f t="shared" si="23"/>
        <v>0.19623664440070648</v>
      </c>
      <c r="AL21" s="25">
        <f t="shared" si="24"/>
        <v>0.19323844709343654</v>
      </c>
      <c r="AM21" s="25">
        <f t="shared" si="25"/>
        <v>1</v>
      </c>
      <c r="AN21" s="26">
        <f t="shared" si="26"/>
        <v>19.978354234713</v>
      </c>
      <c r="AO21" s="5">
        <f t="shared" si="27"/>
        <v>5.174953613224134</v>
      </c>
      <c r="AP21" s="25">
        <f t="shared" si="28"/>
        <v>0.04325555466964396</v>
      </c>
      <c r="AQ21" s="26">
        <f t="shared" si="29"/>
        <v>4.087765641083518</v>
      </c>
      <c r="AR21" s="26">
        <f t="shared" si="30"/>
        <v>3.2600446823695393</v>
      </c>
      <c r="AS21" s="5"/>
      <c r="AV21" s="1" t="s">
        <v>26</v>
      </c>
      <c r="AX21" s="5">
        <f>$N30</f>
        <v>0.275007479385088</v>
      </c>
      <c r="AY21" s="5">
        <f>$N31</f>
        <v>0.3313766590092447</v>
      </c>
      <c r="AZ21" s="5">
        <f>$N32</f>
        <v>0.3519646657801598</v>
      </c>
      <c r="BA21" s="5">
        <f>$N33</f>
        <v>0.43455169849824726</v>
      </c>
      <c r="BB21" s="5"/>
      <c r="BD21" s="23">
        <f t="shared" si="31"/>
        <v>52</v>
      </c>
      <c r="BE21" s="23"/>
      <c r="BF21" s="23"/>
      <c r="BG21" s="23"/>
      <c r="BH21" s="23"/>
      <c r="BI21" s="23">
        <v>52</v>
      </c>
      <c r="BO21" s="1">
        <f t="shared" si="32"/>
        <v>0.9739423802942203</v>
      </c>
      <c r="BP21" s="26">
        <f aca="true" t="shared" si="34" ref="BP21:BS33">BP$20*$BO21^(3+2*BP$15)</f>
        <v>18.33903468928976</v>
      </c>
      <c r="BQ21" s="26">
        <f t="shared" si="34"/>
        <v>8.859808174354924</v>
      </c>
      <c r="BR21" s="26">
        <f t="shared" si="34"/>
        <v>3.314372572180048</v>
      </c>
      <c r="BS21" s="26">
        <f t="shared" si="34"/>
        <v>0.72226063565324</v>
      </c>
      <c r="BU21" s="5">
        <v>0.05</v>
      </c>
      <c r="BV21" s="5">
        <v>0.02653337068447408</v>
      </c>
      <c r="BW21" s="5">
        <v>1.406268646277126</v>
      </c>
      <c r="BX21" s="26">
        <v>11.664543073356816</v>
      </c>
      <c r="CA21" s="1">
        <f t="shared" si="33"/>
        <v>52</v>
      </c>
      <c r="CB21" s="23"/>
      <c r="CC21" s="23"/>
      <c r="CD21" s="23"/>
      <c r="CE21" s="23"/>
    </row>
    <row r="22" spans="2:83" ht="15">
      <c r="B22" s="1">
        <v>5</v>
      </c>
      <c r="C22" s="1" t="s">
        <v>124</v>
      </c>
      <c r="D22" s="1">
        <v>736</v>
      </c>
      <c r="F22" s="5">
        <v>0.15038994565217392</v>
      </c>
      <c r="G22" s="5">
        <v>0.1801073369565219</v>
      </c>
      <c r="H22" s="5">
        <v>3.045249239130434</v>
      </c>
      <c r="I22" s="5">
        <v>1</v>
      </c>
      <c r="J22" s="5">
        <v>0</v>
      </c>
      <c r="K22" s="5">
        <v>0</v>
      </c>
      <c r="L22" s="5"/>
      <c r="M22" s="5">
        <f t="shared" si="0"/>
        <v>0.1286286654128268</v>
      </c>
      <c r="N22" s="5">
        <f t="shared" si="1"/>
        <v>0.3313766590092447</v>
      </c>
      <c r="O22" s="5">
        <f t="shared" si="2"/>
        <v>0.5048258163607022</v>
      </c>
      <c r="P22" s="5">
        <f t="shared" si="3"/>
        <v>0.20274799359641787</v>
      </c>
      <c r="Q22" s="5">
        <f t="shared" si="4"/>
        <v>15.54946932044418</v>
      </c>
      <c r="R22" s="5">
        <f t="shared" si="5"/>
        <v>1.3122115866441388</v>
      </c>
      <c r="S22" s="5">
        <f t="shared" si="6"/>
        <v>0.4828378667433999</v>
      </c>
      <c r="T22" s="5">
        <f t="shared" si="7"/>
        <v>0</v>
      </c>
      <c r="U22" s="5">
        <f t="shared" si="8"/>
        <v>1.3122115866441388</v>
      </c>
      <c r="W22" s="5">
        <f t="shared" si="9"/>
        <v>0.13037602229195333</v>
      </c>
      <c r="X22" s="5">
        <f t="shared" si="10"/>
        <v>0.1286286654128268</v>
      </c>
      <c r="Y22" s="25">
        <f t="shared" si="11"/>
        <v>0.33005293079394304</v>
      </c>
      <c r="Z22" s="25">
        <f t="shared" si="12"/>
        <v>0.3313766590092447</v>
      </c>
      <c r="AA22" s="5">
        <f t="shared" si="13"/>
        <v>0.15405683501205292</v>
      </c>
      <c r="AB22" s="5">
        <f t="shared" si="14"/>
        <v>0.14503698207971857</v>
      </c>
      <c r="AC22" s="5">
        <f t="shared" si="15"/>
        <v>0.4764136410889632</v>
      </c>
      <c r="AD22" s="25">
        <f t="shared" si="16"/>
        <v>0.028412175271739126</v>
      </c>
      <c r="AE22" s="5">
        <f t="shared" si="17"/>
        <v>0.5048258163607023</v>
      </c>
      <c r="AF22" s="5">
        <f t="shared" si="18"/>
        <v>1.3122115866441388</v>
      </c>
      <c r="AG22" s="5">
        <f t="shared" si="19"/>
        <v>1.3122115866441388</v>
      </c>
      <c r="AH22" s="5">
        <f t="shared" si="20"/>
        <v>0.5048258163607022</v>
      </c>
      <c r="AI22" s="25">
        <f t="shared" si="21"/>
        <v>0</v>
      </c>
      <c r="AJ22" s="25">
        <f t="shared" si="22"/>
        <v>0.3313766590092447</v>
      </c>
      <c r="AK22" s="25">
        <f t="shared" si="23"/>
        <v>0.17344915735145755</v>
      </c>
      <c r="AL22" s="25">
        <f t="shared" si="24"/>
        <v>0.24794267308849663</v>
      </c>
      <c r="AM22" s="25">
        <f t="shared" si="25"/>
        <v>1</v>
      </c>
      <c r="AN22" s="26">
        <f t="shared" si="26"/>
        <v>15.54946932044418</v>
      </c>
      <c r="AO22" s="5">
        <f t="shared" si="27"/>
        <v>4.033190364302785</v>
      </c>
      <c r="AP22" s="25">
        <f t="shared" si="28"/>
        <v>0.3836020412560078</v>
      </c>
      <c r="AQ22" s="26">
        <f t="shared" si="29"/>
        <v>7.147050560821015</v>
      </c>
      <c r="AR22" s="26">
        <f t="shared" si="30"/>
        <v>6.66104048182688</v>
      </c>
      <c r="AS22" s="5"/>
      <c r="AV22" s="1" t="s">
        <v>25</v>
      </c>
      <c r="AX22" s="5">
        <f>$M30</f>
        <v>0.0483088</v>
      </c>
      <c r="AY22" s="5">
        <f>$M31</f>
        <v>0.1286286654128268</v>
      </c>
      <c r="AZ22" s="5">
        <f>$M32</f>
        <v>0.20321717607297188</v>
      </c>
      <c r="BA22" s="5">
        <f>$M33</f>
        <v>0.31862892619568156</v>
      </c>
      <c r="BB22" s="5"/>
      <c r="BD22" s="23">
        <f t="shared" si="31"/>
        <v>50</v>
      </c>
      <c r="BE22" s="23"/>
      <c r="BF22" s="23"/>
      <c r="BG22" s="23"/>
      <c r="BH22" s="23"/>
      <c r="BI22" s="23">
        <v>50</v>
      </c>
      <c r="BO22" s="1">
        <f t="shared" si="32"/>
        <v>0.9364830579752118</v>
      </c>
      <c r="BP22" s="26">
        <f t="shared" si="34"/>
        <v>11.544186800733005</v>
      </c>
      <c r="BQ22" s="26">
        <f t="shared" si="34"/>
        <v>5.54811371516088</v>
      </c>
      <c r="BR22" s="26">
        <f t="shared" si="34"/>
        <v>2.064219846378179</v>
      </c>
      <c r="BS22" s="26">
        <f t="shared" si="34"/>
        <v>0.44727489119340375</v>
      </c>
      <c r="BU22" s="5">
        <v>0.1</v>
      </c>
      <c r="BV22" s="5">
        <v>0.05441078097733056</v>
      </c>
      <c r="BW22" s="5">
        <v>1.4418856958992596</v>
      </c>
      <c r="BX22" s="26">
        <v>11.17675288662775</v>
      </c>
      <c r="CA22" s="1">
        <f t="shared" si="33"/>
        <v>50</v>
      </c>
      <c r="CB22" s="23"/>
      <c r="CC22" s="23"/>
      <c r="CD22" s="23"/>
      <c r="CE22" s="23"/>
    </row>
    <row r="23" spans="2:83" ht="15">
      <c r="B23" s="1">
        <v>6</v>
      </c>
      <c r="C23" s="1" t="s">
        <v>125</v>
      </c>
      <c r="D23" s="1">
        <v>40</v>
      </c>
      <c r="F23" s="5">
        <v>0.049400000000000006</v>
      </c>
      <c r="G23" s="5">
        <v>0.100525</v>
      </c>
      <c r="H23" s="5">
        <v>1.8938139999999997</v>
      </c>
      <c r="I23" s="5">
        <v>1</v>
      </c>
      <c r="J23" s="5">
        <v>0</v>
      </c>
      <c r="K23" s="5">
        <v>0</v>
      </c>
      <c r="L23" s="5"/>
      <c r="M23" s="5">
        <f t="shared" si="0"/>
        <v>0.08084842551949298</v>
      </c>
      <c r="N23" s="5">
        <f t="shared" si="1"/>
        <v>0.3235300494792884</v>
      </c>
      <c r="O23" s="5">
        <f t="shared" si="2"/>
        <v>0.46265868365744733</v>
      </c>
      <c r="P23" s="5">
        <f t="shared" si="3"/>
        <v>0.2426816239597954</v>
      </c>
      <c r="Q23" s="5">
        <f t="shared" si="4"/>
        <v>10.642092236547434</v>
      </c>
      <c r="R23" s="5">
        <f t="shared" si="5"/>
        <v>1.4239544883077646</v>
      </c>
      <c r="S23" s="5">
        <f t="shared" si="6"/>
        <v>0.4883456346413664</v>
      </c>
      <c r="T23" s="5">
        <f t="shared" si="7"/>
        <v>0</v>
      </c>
      <c r="U23" s="5">
        <f t="shared" si="8"/>
        <v>1.4239544883077646</v>
      </c>
      <c r="W23" s="5">
        <f t="shared" si="9"/>
        <v>0.08846353115744998</v>
      </c>
      <c r="X23" s="5">
        <f t="shared" si="10"/>
        <v>0.08084842551949298</v>
      </c>
      <c r="Y23" s="25">
        <f t="shared" si="11"/>
        <v>0.32470071547615</v>
      </c>
      <c r="Z23" s="25">
        <f t="shared" si="12"/>
        <v>0.3235300494792884</v>
      </c>
      <c r="AA23" s="5">
        <f t="shared" si="13"/>
        <v>0.12709072993775</v>
      </c>
      <c r="AB23" s="5">
        <f t="shared" si="14"/>
        <v>0.100920434178159</v>
      </c>
      <c r="AC23" s="5">
        <f t="shared" si="15"/>
        <v>0.42445048365744736</v>
      </c>
      <c r="AD23" s="25">
        <f t="shared" si="16"/>
        <v>0.0382082</v>
      </c>
      <c r="AE23" s="5">
        <f t="shared" si="17"/>
        <v>0.46265868365744733</v>
      </c>
      <c r="AF23" s="5">
        <f t="shared" si="18"/>
        <v>1.4239544883077646</v>
      </c>
      <c r="AG23" s="5">
        <f t="shared" si="19"/>
        <v>1.4239544883077646</v>
      </c>
      <c r="AH23" s="5">
        <f t="shared" si="20"/>
        <v>0.46265868365744733</v>
      </c>
      <c r="AI23" s="25">
        <f t="shared" si="21"/>
        <v>0</v>
      </c>
      <c r="AJ23" s="25">
        <f t="shared" si="22"/>
        <v>0.3235300494792884</v>
      </c>
      <c r="AK23" s="25">
        <f t="shared" si="23"/>
        <v>0.13912863417815896</v>
      </c>
      <c r="AL23" s="25">
        <f t="shared" si="24"/>
        <v>0.3633272792312185</v>
      </c>
      <c r="AM23" s="25">
        <f t="shared" si="25"/>
        <v>1</v>
      </c>
      <c r="AN23" s="26">
        <f t="shared" si="26"/>
        <v>10.642092236547434</v>
      </c>
      <c r="AO23" s="5">
        <f t="shared" si="27"/>
        <v>2.7523394392954685</v>
      </c>
      <c r="AP23" s="25">
        <f t="shared" si="28"/>
        <v>1.4778577429435278</v>
      </c>
      <c r="AQ23" s="26">
        <f t="shared" si="29"/>
        <v>12.551952202965431</v>
      </c>
      <c r="AR23" s="26">
        <f t="shared" si="30"/>
        <v>13.584611686140914</v>
      </c>
      <c r="AS23" s="5"/>
      <c r="AV23" s="1" t="s">
        <v>85</v>
      </c>
      <c r="AX23" s="5">
        <f>$O30</f>
        <v>0.29524175313664003</v>
      </c>
      <c r="AY23" s="5">
        <f>$O31</f>
        <v>0.5048258163607022</v>
      </c>
      <c r="AZ23" s="5">
        <f>$O32</f>
        <v>0.4967506649562463</v>
      </c>
      <c r="BA23" s="5">
        <f>$O33</f>
        <v>0.5311424904565721</v>
      </c>
      <c r="BB23" s="5"/>
      <c r="BD23" s="23">
        <f t="shared" si="31"/>
        <v>48</v>
      </c>
      <c r="BE23" s="23"/>
      <c r="BF23" s="23"/>
      <c r="BG23" s="23"/>
      <c r="BH23" s="23"/>
      <c r="BI23" s="23">
        <v>48</v>
      </c>
      <c r="BO23" s="1">
        <f t="shared" si="32"/>
        <v>0.8990237356562033</v>
      </c>
      <c r="BP23" s="26">
        <f t="shared" si="34"/>
        <v>7.130883932456581</v>
      </c>
      <c r="BQ23" s="26">
        <f t="shared" si="34"/>
        <v>3.4085292776126903</v>
      </c>
      <c r="BR23" s="26">
        <f t="shared" si="34"/>
        <v>1.2609985801750192</v>
      </c>
      <c r="BS23" s="26">
        <f t="shared" si="34"/>
        <v>0.2716177254002007</v>
      </c>
      <c r="BU23" s="5">
        <v>0.15</v>
      </c>
      <c r="BV23" s="5">
        <v>0.08373700745098805</v>
      </c>
      <c r="BW23" s="5">
        <v>1.479353798300789</v>
      </c>
      <c r="BX23" s="26">
        <v>10.677698737280368</v>
      </c>
      <c r="CA23" s="1">
        <f t="shared" si="33"/>
        <v>48</v>
      </c>
      <c r="CB23" s="23"/>
      <c r="CC23" s="23"/>
      <c r="CD23" s="23"/>
      <c r="CE23" s="23"/>
    </row>
    <row r="24" spans="2:83" ht="15">
      <c r="B24" s="1">
        <v>7</v>
      </c>
      <c r="C24" s="1" t="s">
        <v>126</v>
      </c>
      <c r="D24" s="1">
        <v>39</v>
      </c>
      <c r="F24" s="5">
        <v>0.5322307692307692</v>
      </c>
      <c r="G24" s="5">
        <v>0.2621794871794872</v>
      </c>
      <c r="H24" s="5">
        <v>2.290709743589743</v>
      </c>
      <c r="I24" s="5">
        <v>1</v>
      </c>
      <c r="J24" s="5">
        <v>0</v>
      </c>
      <c r="K24" s="5">
        <v>0</v>
      </c>
      <c r="L24" s="5"/>
      <c r="M24" s="5">
        <f t="shared" si="0"/>
        <v>0.17086937720990927</v>
      </c>
      <c r="N24" s="5">
        <f t="shared" si="1"/>
        <v>0.28257501414289343</v>
      </c>
      <c r="O24" s="5">
        <f t="shared" si="2"/>
        <v>0.43789899516849484</v>
      </c>
      <c r="P24" s="5">
        <f t="shared" si="3"/>
        <v>0.11170563693298416</v>
      </c>
      <c r="Q24" s="5">
        <f t="shared" si="4"/>
        <v>9.24417200858804</v>
      </c>
      <c r="R24" s="5">
        <f t="shared" si="5"/>
        <v>1.4895676628034886</v>
      </c>
      <c r="S24" s="5">
        <f t="shared" si="6"/>
        <v>0.4012795922490355</v>
      </c>
      <c r="T24" s="5">
        <f t="shared" si="7"/>
        <v>0</v>
      </c>
      <c r="U24" s="5">
        <f t="shared" si="8"/>
        <v>1.4895676628034886</v>
      </c>
      <c r="W24" s="5">
        <f t="shared" si="9"/>
        <v>0.16742927825430637</v>
      </c>
      <c r="X24" s="5">
        <f t="shared" si="10"/>
        <v>0.17086937720990927</v>
      </c>
      <c r="Y24" s="25">
        <f t="shared" si="11"/>
        <v>0.2959044950404734</v>
      </c>
      <c r="Z24" s="25">
        <f t="shared" si="12"/>
        <v>0.28257501414289343</v>
      </c>
      <c r="AA24" s="5">
        <f t="shared" si="13"/>
        <v>0.16561758291013812</v>
      </c>
      <c r="AB24" s="5">
        <f t="shared" si="14"/>
        <v>0.16395036564098597</v>
      </c>
      <c r="AC24" s="5">
        <f t="shared" si="15"/>
        <v>0.4465253797838794</v>
      </c>
      <c r="AD24" s="25">
        <f t="shared" si="16"/>
        <v>-0.008626384615384612</v>
      </c>
      <c r="AE24" s="5">
        <f t="shared" si="17"/>
        <v>0.4378989951684948</v>
      </c>
      <c r="AF24" s="5">
        <f t="shared" si="18"/>
        <v>1.4895676628034886</v>
      </c>
      <c r="AG24" s="5">
        <f t="shared" si="19"/>
        <v>1.4895676628034886</v>
      </c>
      <c r="AH24" s="5">
        <f t="shared" si="20"/>
        <v>0.43789899516849484</v>
      </c>
      <c r="AI24" s="25">
        <f t="shared" si="21"/>
        <v>0</v>
      </c>
      <c r="AJ24" s="25">
        <f t="shared" si="22"/>
        <v>0.28257501414289343</v>
      </c>
      <c r="AK24" s="25">
        <f t="shared" si="23"/>
        <v>0.1553239810256014</v>
      </c>
      <c r="AL24" s="25">
        <f t="shared" si="24"/>
        <v>0.13180050123611664</v>
      </c>
      <c r="AM24" s="25">
        <f t="shared" si="25"/>
        <v>1</v>
      </c>
      <c r="AN24" s="26">
        <f t="shared" si="26"/>
        <v>9.24417200858804</v>
      </c>
      <c r="AO24" s="5">
        <f t="shared" si="27"/>
        <v>7.587224560007781</v>
      </c>
      <c r="AP24" s="25">
        <f t="shared" si="28"/>
        <v>0.0022601772984271453</v>
      </c>
      <c r="AQ24" s="26">
        <f t="shared" si="29"/>
        <v>3.747286161552406</v>
      </c>
      <c r="AR24" s="26">
        <f t="shared" si="30"/>
        <v>2.9046858968282274</v>
      </c>
      <c r="AS24" s="5"/>
      <c r="AV24" s="1" t="s">
        <v>86</v>
      </c>
      <c r="AX24" s="25">
        <f>$AP30</f>
        <v>1.941476529475999</v>
      </c>
      <c r="AY24" s="25">
        <f>$AP31</f>
        <v>0.3836020412560078</v>
      </c>
      <c r="AZ24" s="25">
        <f>$AP32</f>
        <v>0.023291034677899374</v>
      </c>
      <c r="BA24" s="25">
        <f>$AP33</f>
        <v>0.0011647191365648218</v>
      </c>
      <c r="BB24" s="5"/>
      <c r="BD24" s="23">
        <f t="shared" si="31"/>
        <v>46</v>
      </c>
      <c r="BE24" s="23"/>
      <c r="BF24" s="23"/>
      <c r="BG24" s="23"/>
      <c r="BH24" s="23">
        <f aca="true" t="shared" si="35" ref="BH24:BH41">$BA$24*(BD24/100)^(-$BA$25)</f>
        <v>16.386591721415723</v>
      </c>
      <c r="BI24" s="23">
        <v>46</v>
      </c>
      <c r="BL24" s="1">
        <f aca="true" t="shared" si="36" ref="BL24:BL32">AZ$26*(($BI24/100)/AZ$23)^(3+2*AZ$25)</f>
        <v>2.110848917341711</v>
      </c>
      <c r="BO24" s="1">
        <f t="shared" si="32"/>
        <v>0.8615644133371949</v>
      </c>
      <c r="BP24" s="26">
        <f t="shared" si="34"/>
        <v>4.315367423238856</v>
      </c>
      <c r="BQ24" s="26">
        <f t="shared" si="34"/>
        <v>2.051080510137001</v>
      </c>
      <c r="BR24" s="26">
        <f t="shared" si="34"/>
        <v>0.7543317880350818</v>
      </c>
      <c r="BS24" s="26">
        <f t="shared" si="34"/>
        <v>0.1614809335618256</v>
      </c>
      <c r="BU24" s="5">
        <v>0.2</v>
      </c>
      <c r="BV24" s="5">
        <v>0.11462800790875503</v>
      </c>
      <c r="BW24" s="5">
        <v>1.5188211047910039</v>
      </c>
      <c r="BX24" s="26">
        <v>10.166985909890023</v>
      </c>
      <c r="CA24" s="1">
        <f t="shared" si="33"/>
        <v>46</v>
      </c>
      <c r="CB24" s="23"/>
      <c r="CC24" s="23"/>
      <c r="CD24" s="23"/>
      <c r="CE24" s="23"/>
    </row>
    <row r="25" spans="2:83" ht="15">
      <c r="B25" s="1">
        <v>8</v>
      </c>
      <c r="C25" s="1" t="s">
        <v>127</v>
      </c>
      <c r="D25" s="1">
        <v>130</v>
      </c>
      <c r="F25" s="5">
        <v>0.2911769230769231</v>
      </c>
      <c r="G25" s="5">
        <v>0.3157692307692308</v>
      </c>
      <c r="H25" s="5">
        <v>3.5097987692307693</v>
      </c>
      <c r="I25" s="5">
        <v>1</v>
      </c>
      <c r="J25" s="5">
        <v>0</v>
      </c>
      <c r="K25" s="5">
        <v>0</v>
      </c>
      <c r="L25" s="5"/>
      <c r="M25" s="5">
        <f t="shared" si="0"/>
        <v>0.20321717607297188</v>
      </c>
      <c r="N25" s="5">
        <f t="shared" si="1"/>
        <v>0.3519646657801598</v>
      </c>
      <c r="O25" s="5">
        <f t="shared" si="2"/>
        <v>0.4967506649562463</v>
      </c>
      <c r="P25" s="5">
        <f t="shared" si="3"/>
        <v>0.1487474897071879</v>
      </c>
      <c r="Q25" s="5">
        <f t="shared" si="4"/>
        <v>7.735977208659201</v>
      </c>
      <c r="R25" s="5">
        <f t="shared" si="5"/>
        <v>1.3336107378659472</v>
      </c>
      <c r="S25" s="5">
        <f t="shared" si="6"/>
        <v>0.4669985119200473</v>
      </c>
      <c r="T25" s="5">
        <f t="shared" si="7"/>
        <v>0</v>
      </c>
      <c r="U25" s="5">
        <f t="shared" si="8"/>
        <v>1.3336107378659472</v>
      </c>
      <c r="W25" s="5">
        <f t="shared" si="9"/>
        <v>0.1958045404148876</v>
      </c>
      <c r="X25" s="5">
        <f t="shared" si="10"/>
        <v>0.20321717607297188</v>
      </c>
      <c r="Y25" s="25">
        <f t="shared" si="11"/>
        <v>0.34386448913781775</v>
      </c>
      <c r="Z25" s="25">
        <f t="shared" si="12"/>
        <v>0.3519646657801598</v>
      </c>
      <c r="AA25" s="5">
        <f t="shared" si="13"/>
        <v>0.14488396131696096</v>
      </c>
      <c r="AB25" s="5">
        <f t="shared" si="14"/>
        <v>0.13003016071454815</v>
      </c>
      <c r="AC25" s="5">
        <f t="shared" si="15"/>
        <v>0.48199482649470793</v>
      </c>
      <c r="AD25" s="25">
        <f t="shared" si="16"/>
        <v>0.014755838461538454</v>
      </c>
      <c r="AE25" s="5">
        <f t="shared" si="17"/>
        <v>0.49675066495624637</v>
      </c>
      <c r="AF25" s="5">
        <f t="shared" si="18"/>
        <v>1.3336107378659472</v>
      </c>
      <c r="AG25" s="5">
        <f t="shared" si="19"/>
        <v>1.3336107378659472</v>
      </c>
      <c r="AH25" s="5">
        <f t="shared" si="20"/>
        <v>0.4967506649562463</v>
      </c>
      <c r="AI25" s="25">
        <f t="shared" si="21"/>
        <v>0</v>
      </c>
      <c r="AJ25" s="25">
        <f t="shared" si="22"/>
        <v>0.3519646657801598</v>
      </c>
      <c r="AK25" s="25">
        <f t="shared" si="23"/>
        <v>0.14478599917608653</v>
      </c>
      <c r="AL25" s="25">
        <f t="shared" si="24"/>
        <v>0.14390801045221607</v>
      </c>
      <c r="AM25" s="25">
        <f t="shared" si="25"/>
        <v>1</v>
      </c>
      <c r="AN25" s="26">
        <f t="shared" si="26"/>
        <v>7.735977208659201</v>
      </c>
      <c r="AO25" s="5">
        <f t="shared" si="27"/>
        <v>6.948883504522112</v>
      </c>
      <c r="AP25" s="25">
        <f t="shared" si="28"/>
        <v>0.023291034677899374</v>
      </c>
      <c r="AQ25" s="26">
        <f t="shared" si="29"/>
        <v>4.830492658032089</v>
      </c>
      <c r="AR25" s="26">
        <f t="shared" si="30"/>
        <v>4.051320174060502</v>
      </c>
      <c r="AS25" s="5"/>
      <c r="AV25" s="1" t="s">
        <v>87</v>
      </c>
      <c r="AX25" s="5">
        <f>$AO30</f>
        <v>2.194541580777808</v>
      </c>
      <c r="AY25" s="5">
        <f>$AO31</f>
        <v>4.033190364302785</v>
      </c>
      <c r="AZ25" s="5">
        <f>$AO32</f>
        <v>6.948883504522112</v>
      </c>
      <c r="BA25" s="5">
        <f>$AO33</f>
        <v>12.300559692261906</v>
      </c>
      <c r="BB25" s="5"/>
      <c r="BD25" s="23">
        <f t="shared" si="31"/>
        <v>44</v>
      </c>
      <c r="BE25" s="23"/>
      <c r="BF25" s="23"/>
      <c r="BG25" s="23">
        <f aca="true" t="shared" si="37" ref="BG25:BG42">$AZ$24*(BD25/100)^(-$AZ$25)</f>
        <v>6.995110783945304</v>
      </c>
      <c r="BH25" s="23">
        <f t="shared" si="35"/>
        <v>28.31084597980394</v>
      </c>
      <c r="BI25" s="23">
        <v>44</v>
      </c>
      <c r="BK25" s="1">
        <f aca="true" t="shared" si="38" ref="BK25:BK36">AY$26*(($BI25/100)/AY$23)^(3+2*AY$25)</f>
        <v>3.3976270300272464</v>
      </c>
      <c r="BL25" s="1">
        <f t="shared" si="36"/>
        <v>0.995962841330262</v>
      </c>
      <c r="BO25" s="1">
        <f t="shared" si="32"/>
        <v>0.8241050910181864</v>
      </c>
      <c r="BP25" s="26">
        <f t="shared" si="34"/>
        <v>2.553845347583161</v>
      </c>
      <c r="BQ25" s="26">
        <f t="shared" si="34"/>
        <v>1.2066782344823672</v>
      </c>
      <c r="BR25" s="26">
        <f t="shared" si="34"/>
        <v>0.44105134367180593</v>
      </c>
      <c r="BS25" s="26">
        <f t="shared" si="34"/>
        <v>0.09380888325259186</v>
      </c>
      <c r="BU25" s="5">
        <v>0.25</v>
      </c>
      <c r="BV25" s="5">
        <v>0.14721245377321235</v>
      </c>
      <c r="BW25" s="5">
        <v>1.5604520099960508</v>
      </c>
      <c r="BX25" s="26">
        <v>9.644201028737783</v>
      </c>
      <c r="CA25" s="1">
        <f t="shared" si="33"/>
        <v>44</v>
      </c>
      <c r="CB25" s="23"/>
      <c r="CC25" s="23"/>
      <c r="CD25" s="23"/>
      <c r="CE25" s="23"/>
    </row>
    <row r="26" spans="2:83" ht="15">
      <c r="B26" s="1">
        <v>9</v>
      </c>
      <c r="C26" s="1" t="s">
        <v>128</v>
      </c>
      <c r="D26" s="1">
        <v>288</v>
      </c>
      <c r="F26" s="5">
        <v>0.08884722222222224</v>
      </c>
      <c r="G26" s="5">
        <v>0.3219131944444446</v>
      </c>
      <c r="H26" s="5">
        <v>4.056727638888888</v>
      </c>
      <c r="I26" s="5">
        <v>1</v>
      </c>
      <c r="J26" s="5">
        <v>0</v>
      </c>
      <c r="K26" s="5">
        <v>0</v>
      </c>
      <c r="L26" s="5"/>
      <c r="M26" s="5">
        <f t="shared" si="0"/>
        <v>0.20429487852731715</v>
      </c>
      <c r="N26" s="5">
        <f t="shared" si="1"/>
        <v>0.38274250870431764</v>
      </c>
      <c r="O26" s="5">
        <f t="shared" si="2"/>
        <v>0.5464316728648239</v>
      </c>
      <c r="P26" s="5">
        <f t="shared" si="3"/>
        <v>0.1784476301770005</v>
      </c>
      <c r="Q26" s="5">
        <f t="shared" si="4"/>
        <v>11.399879836592914</v>
      </c>
      <c r="R26" s="5">
        <f t="shared" si="5"/>
        <v>1.2019560669082168</v>
      </c>
      <c r="S26" s="5">
        <f t="shared" si="6"/>
        <v>0.5121589983518282</v>
      </c>
      <c r="T26" s="5">
        <f t="shared" si="7"/>
        <v>0</v>
      </c>
      <c r="U26" s="5">
        <f t="shared" si="8"/>
        <v>1.2019560669082168</v>
      </c>
      <c r="W26" s="5">
        <f t="shared" si="9"/>
        <v>0.19674989344501503</v>
      </c>
      <c r="X26" s="5">
        <f t="shared" si="10"/>
        <v>0.20429487852731715</v>
      </c>
      <c r="Y26" s="25">
        <f t="shared" si="11"/>
        <v>0.36392701001336275</v>
      </c>
      <c r="Z26" s="25">
        <f t="shared" si="12"/>
        <v>0.38274250870431764</v>
      </c>
      <c r="AA26" s="5">
        <f t="shared" si="13"/>
        <v>0.14444214224698154</v>
      </c>
      <c r="AB26" s="5">
        <f t="shared" si="14"/>
        <v>0.1293073447160618</v>
      </c>
      <c r="AC26" s="5">
        <f t="shared" si="15"/>
        <v>0.5120498534203795</v>
      </c>
      <c r="AD26" s="25">
        <f t="shared" si="16"/>
        <v>0.03438181944444444</v>
      </c>
      <c r="AE26" s="5">
        <f t="shared" si="17"/>
        <v>0.5464316728648239</v>
      </c>
      <c r="AF26" s="5">
        <f t="shared" si="18"/>
        <v>1.2019560669082168</v>
      </c>
      <c r="AG26" s="5">
        <f t="shared" si="19"/>
        <v>1.2019560669082168</v>
      </c>
      <c r="AH26" s="5">
        <f t="shared" si="20"/>
        <v>0.5464316728648239</v>
      </c>
      <c r="AI26" s="25">
        <f t="shared" si="21"/>
        <v>0</v>
      </c>
      <c r="AJ26" s="25">
        <f t="shared" si="22"/>
        <v>0.38274250870431764</v>
      </c>
      <c r="AK26" s="25">
        <f t="shared" si="23"/>
        <v>0.16368916416050622</v>
      </c>
      <c r="AL26" s="25">
        <f t="shared" si="24"/>
        <v>0.16448657722443336</v>
      </c>
      <c r="AM26" s="25">
        <f t="shared" si="25"/>
        <v>1</v>
      </c>
      <c r="AN26" s="26">
        <f t="shared" si="26"/>
        <v>11.399879836592914</v>
      </c>
      <c r="AO26" s="5">
        <f t="shared" si="27"/>
        <v>6.079523429048877</v>
      </c>
      <c r="AP26" s="25">
        <f t="shared" si="28"/>
        <v>0.09611373298446185</v>
      </c>
      <c r="AQ26" s="26">
        <f t="shared" si="29"/>
        <v>4.698449645034639</v>
      </c>
      <c r="AR26" s="26">
        <f t="shared" si="30"/>
        <v>3.9090334164842475</v>
      </c>
      <c r="AS26" s="5"/>
      <c r="AV26" s="1" t="s">
        <v>88</v>
      </c>
      <c r="AX26" s="26">
        <f>$AN30</f>
        <v>0.0945573831101665</v>
      </c>
      <c r="AY26" s="26">
        <f>$AN31</f>
        <v>15.54946932044418</v>
      </c>
      <c r="AZ26" s="26">
        <f>$AN32</f>
        <v>7.735977208659201</v>
      </c>
      <c r="BA26" s="26">
        <f>$AN33</f>
        <v>2.1032276635456717</v>
      </c>
      <c r="BB26" s="5"/>
      <c r="BD26" s="23">
        <v>42</v>
      </c>
      <c r="BE26" s="23"/>
      <c r="BF26" s="23"/>
      <c r="BG26" s="23">
        <f t="shared" si="37"/>
        <v>9.664637590534824</v>
      </c>
      <c r="BH26" s="23">
        <f t="shared" si="35"/>
        <v>50.17250716305853</v>
      </c>
      <c r="BI26" s="23">
        <v>42</v>
      </c>
      <c r="BJ26" s="1">
        <f aca="true" t="shared" si="39" ref="BJ26:BJ37">AX$26*(($BI26/100)/AX$23)^(3+2*AX$25)</f>
        <v>1.2786556378198501</v>
      </c>
      <c r="BK26" s="1">
        <f t="shared" si="38"/>
        <v>2.03047356904876</v>
      </c>
      <c r="BL26" s="1">
        <f t="shared" si="36"/>
        <v>0.4537859284183987</v>
      </c>
      <c r="BM26" s="1">
        <f aca="true" t="shared" si="40" ref="BM26:BM34">BA$26*(($BI26/100)/BA$23)^(3+2*BA$25)</f>
        <v>0.003225727728718422</v>
      </c>
      <c r="BO26" s="1">
        <f t="shared" si="32"/>
        <v>0.7866457686991779</v>
      </c>
      <c r="BP26" s="26">
        <f t="shared" si="34"/>
        <v>1.4749294430325441</v>
      </c>
      <c r="BQ26" s="26">
        <f t="shared" si="34"/>
        <v>0.6925969901644173</v>
      </c>
      <c r="BR26" s="26">
        <f t="shared" si="34"/>
        <v>0.25151937731289464</v>
      </c>
      <c r="BS26" s="26">
        <f t="shared" si="34"/>
        <v>0.05313635677957774</v>
      </c>
      <c r="BU26" s="5">
        <v>0.3</v>
      </c>
      <c r="BV26" s="5">
        <v>0.1816335215937623</v>
      </c>
      <c r="BW26" s="5">
        <v>1.6044294407449005</v>
      </c>
      <c r="BX26" s="26">
        <v>9.108910941907757</v>
      </c>
      <c r="CA26" s="1">
        <v>42</v>
      </c>
      <c r="CB26" s="23"/>
      <c r="CC26" s="23"/>
      <c r="CD26" s="23"/>
      <c r="CE26" s="23"/>
    </row>
    <row r="27" spans="2:83" ht="15">
      <c r="B27" s="1">
        <v>10</v>
      </c>
      <c r="C27" s="1" t="s">
        <v>129</v>
      </c>
      <c r="D27" s="1">
        <v>83</v>
      </c>
      <c r="F27" s="5">
        <v>0.0765542168674699</v>
      </c>
      <c r="G27" s="5">
        <v>0.46515662650602396</v>
      </c>
      <c r="H27" s="5">
        <v>3.5921513253012067</v>
      </c>
      <c r="I27" s="5">
        <v>1</v>
      </c>
      <c r="J27" s="5">
        <v>0</v>
      </c>
      <c r="K27" s="5">
        <v>0</v>
      </c>
      <c r="L27" s="5"/>
      <c r="M27" s="5">
        <f t="shared" si="0"/>
        <v>0.2756264487800571</v>
      </c>
      <c r="N27" s="5">
        <f t="shared" si="1"/>
        <v>0.41237295151276643</v>
      </c>
      <c r="O27" s="5">
        <f t="shared" si="2"/>
        <v>0.5426072804397564</v>
      </c>
      <c r="P27" s="5">
        <f t="shared" si="3"/>
        <v>0.13674650273270933</v>
      </c>
      <c r="Q27" s="5">
        <f t="shared" si="4"/>
        <v>5.286653798074722</v>
      </c>
      <c r="R27" s="5">
        <f t="shared" si="5"/>
        <v>1.2120907068346454</v>
      </c>
      <c r="S27" s="5">
        <f t="shared" si="6"/>
        <v>0.5112164670243489</v>
      </c>
      <c r="T27" s="5">
        <f t="shared" si="7"/>
        <v>0</v>
      </c>
      <c r="U27" s="5">
        <f t="shared" si="8"/>
        <v>1.2120907068346454</v>
      </c>
      <c r="W27" s="5">
        <f t="shared" si="9"/>
        <v>0.25932144629829573</v>
      </c>
      <c r="X27" s="5">
        <f t="shared" si="10"/>
        <v>0.2756264487800571</v>
      </c>
      <c r="Y27" s="25">
        <f t="shared" si="11"/>
        <v>0.3826349984793845</v>
      </c>
      <c r="Z27" s="25">
        <f t="shared" si="12"/>
        <v>0.41237295151276643</v>
      </c>
      <c r="AA27" s="5">
        <f t="shared" si="13"/>
        <v>0.12326411244690379</v>
      </c>
      <c r="AB27" s="5">
        <f t="shared" si="14"/>
        <v>0.0946600879631346</v>
      </c>
      <c r="AC27" s="5">
        <f t="shared" si="15"/>
        <v>0.5070330394759011</v>
      </c>
      <c r="AD27" s="25">
        <f t="shared" si="16"/>
        <v>0.03557424096385542</v>
      </c>
      <c r="AE27" s="5">
        <f t="shared" si="17"/>
        <v>0.5426072804397565</v>
      </c>
      <c r="AF27" s="5">
        <f t="shared" si="18"/>
        <v>1.2120907068346454</v>
      </c>
      <c r="AG27" s="5">
        <f t="shared" si="19"/>
        <v>1.2120907068346454</v>
      </c>
      <c r="AH27" s="5">
        <f t="shared" si="20"/>
        <v>0.5426072804397564</v>
      </c>
      <c r="AI27" s="25">
        <f t="shared" si="21"/>
        <v>0</v>
      </c>
      <c r="AJ27" s="25">
        <f t="shared" si="22"/>
        <v>0.41237295151276643</v>
      </c>
      <c r="AK27" s="25">
        <f t="shared" si="23"/>
        <v>0.13023432892698994</v>
      </c>
      <c r="AL27" s="25">
        <f t="shared" si="24"/>
        <v>0.10555723678356999</v>
      </c>
      <c r="AM27" s="25">
        <f t="shared" si="25"/>
        <v>1</v>
      </c>
      <c r="AN27" s="26">
        <f t="shared" si="26"/>
        <v>5.286653798074722</v>
      </c>
      <c r="AO27" s="5">
        <f t="shared" si="27"/>
        <v>9.473533321551008</v>
      </c>
      <c r="AP27" s="25">
        <f t="shared" si="28"/>
        <v>0.007480877744314156</v>
      </c>
      <c r="AQ27" s="26">
        <f t="shared" si="29"/>
        <v>3.544886871669622</v>
      </c>
      <c r="AR27" s="26">
        <f t="shared" si="30"/>
        <v>2.6956391138296674</v>
      </c>
      <c r="AS27" s="5"/>
      <c r="AV27" s="1" t="s">
        <v>89</v>
      </c>
      <c r="AX27" s="26">
        <f>$AR30</f>
        <v>30.529778368757942</v>
      </c>
      <c r="AY27" s="26">
        <f>$AR31</f>
        <v>6.66104048182688</v>
      </c>
      <c r="AZ27" s="26">
        <f>$AR32</f>
        <v>4.051320174060502</v>
      </c>
      <c r="BA27" s="26">
        <f>$AR33</f>
        <v>2.682627442966322</v>
      </c>
      <c r="BB27" s="5"/>
      <c r="BD27" s="23">
        <f>BD26-2</f>
        <v>40</v>
      </c>
      <c r="BE27" s="23"/>
      <c r="BF27" s="23">
        <f aca="true" t="shared" si="41" ref="BF27:BF43">$AY$24*(BD27/100)^(-$AY$25)</f>
        <v>15.447162600450485</v>
      </c>
      <c r="BG27" s="23">
        <f t="shared" si="37"/>
        <v>13.56524194379315</v>
      </c>
      <c r="BH27" s="23">
        <f t="shared" si="35"/>
        <v>91.43364677512905</v>
      </c>
      <c r="BI27" s="23">
        <v>40</v>
      </c>
      <c r="BJ27" s="24">
        <f t="shared" si="39"/>
        <v>0.8916288348113184</v>
      </c>
      <c r="BK27" s="24">
        <f t="shared" si="38"/>
        <v>1.1833371244593118</v>
      </c>
      <c r="BL27" s="24">
        <f t="shared" si="36"/>
        <v>0.19897530808751615</v>
      </c>
      <c r="BM27" s="24">
        <f t="shared" si="40"/>
        <v>0.0008390335636848468</v>
      </c>
      <c r="BO27" s="1">
        <f t="shared" si="32"/>
        <v>0.7491864463801694</v>
      </c>
      <c r="BP27" s="26">
        <f t="shared" si="34"/>
        <v>0.8293025130489937</v>
      </c>
      <c r="BQ27" s="26">
        <f t="shared" si="34"/>
        <v>0.3869043886889211</v>
      </c>
      <c r="BR27" s="26">
        <f t="shared" si="34"/>
        <v>0.13955670695577072</v>
      </c>
      <c r="BS27" s="26">
        <f t="shared" si="34"/>
        <v>0.029274760146012425</v>
      </c>
      <c r="BU27" s="5">
        <v>0.35</v>
      </c>
      <c r="BV27" s="5">
        <v>0.21805099627413727</v>
      </c>
      <c r="BW27" s="5">
        <v>1.650957543218468</v>
      </c>
      <c r="BX27" s="26">
        <v>8.560661524336686</v>
      </c>
      <c r="CA27" s="1">
        <f>CA26-2</f>
        <v>40</v>
      </c>
      <c r="CB27" s="23">
        <f aca="true" t="shared" si="42" ref="CB27:CB43">$AX$24*(CA27/100)^(-$AX$25)+$AX$23/($BD27/100)*36*$AX$29</f>
        <v>14.502004662177464</v>
      </c>
      <c r="CC27" s="23">
        <f aca="true" t="shared" si="43" ref="CC27:CC43">$AY$24*(CA27/100)^(-$AY$25)+$AY$23/($BD27/100)*36*$AY$29</f>
        <v>15.447162600450485</v>
      </c>
      <c r="CD27" s="23">
        <f aca="true" t="shared" si="44" ref="CD27:CD43">$AZ$24*(CA27/100)^(-$AZ$25)+$AZ$23/($BD27/100)*36*$AZ$29</f>
        <v>13.56524194379315</v>
      </c>
      <c r="CE27" s="23">
        <f aca="true" t="shared" si="45" ref="CE27:CE42">$BA$24*(CA27/100)^(-$BA$25)+$BA$23/($BD27/100)*36*$BA$29</f>
        <v>91.43364677512905</v>
      </c>
    </row>
    <row r="28" spans="2:83" ht="15">
      <c r="B28" s="1">
        <v>11</v>
      </c>
      <c r="C28" s="1" t="s">
        <v>130</v>
      </c>
      <c r="D28" s="1">
        <v>140</v>
      </c>
      <c r="F28" s="5">
        <v>0.12736428571428574</v>
      </c>
      <c r="G28" s="5">
        <v>0.545557142857143</v>
      </c>
      <c r="H28" s="5">
        <v>2.88</v>
      </c>
      <c r="I28" s="5">
        <v>1</v>
      </c>
      <c r="J28" s="5">
        <v>0</v>
      </c>
      <c r="K28" s="5">
        <v>0</v>
      </c>
      <c r="L28" s="5"/>
      <c r="M28" s="5">
        <f t="shared" si="0"/>
        <v>0.31862892619568156</v>
      </c>
      <c r="N28" s="5">
        <f t="shared" si="1"/>
        <v>0.43455169849824726</v>
      </c>
      <c r="O28" s="5">
        <f t="shared" si="2"/>
        <v>0.5311424904565721</v>
      </c>
      <c r="P28" s="5">
        <f t="shared" si="3"/>
        <v>0.1159227723025657</v>
      </c>
      <c r="Q28" s="5">
        <f t="shared" si="4"/>
        <v>2.1032276635456717</v>
      </c>
      <c r="R28" s="5">
        <f t="shared" si="5"/>
        <v>1.2424724002900838</v>
      </c>
      <c r="S28" s="5">
        <f t="shared" si="6"/>
        <v>0.5078294276570711</v>
      </c>
      <c r="T28" s="5">
        <f t="shared" si="7"/>
        <v>0</v>
      </c>
      <c r="U28" s="5">
        <f t="shared" si="8"/>
        <v>1.2424724002900838</v>
      </c>
      <c r="W28" s="5">
        <f t="shared" si="9"/>
        <v>0.29704291771551017</v>
      </c>
      <c r="X28" s="5">
        <f t="shared" si="10"/>
        <v>0.31862892619568156</v>
      </c>
      <c r="Y28" s="25">
        <f t="shared" si="11"/>
        <v>0.39628053068040814</v>
      </c>
      <c r="Z28" s="25">
        <f t="shared" si="12"/>
        <v>0.43455169849824726</v>
      </c>
      <c r="AA28" s="5">
        <f t="shared" si="13"/>
        <v>0.10571218072897959</v>
      </c>
      <c r="AB28" s="5">
        <f t="shared" si="14"/>
        <v>0.06594512767261061</v>
      </c>
      <c r="AC28" s="5">
        <f t="shared" si="15"/>
        <v>0.5004968261708579</v>
      </c>
      <c r="AD28" s="25">
        <f t="shared" si="16"/>
        <v>0.03064566428571428</v>
      </c>
      <c r="AE28" s="5">
        <f t="shared" si="17"/>
        <v>0.5311424904565721</v>
      </c>
      <c r="AF28" s="5">
        <f t="shared" si="18"/>
        <v>1.2424724002900838</v>
      </c>
      <c r="AG28" s="5">
        <f t="shared" si="19"/>
        <v>1.2424724002900838</v>
      </c>
      <c r="AH28" s="5">
        <f t="shared" si="20"/>
        <v>0.5311424904565721</v>
      </c>
      <c r="AI28" s="25">
        <f t="shared" si="21"/>
        <v>0</v>
      </c>
      <c r="AJ28" s="25">
        <f t="shared" si="22"/>
        <v>0.43455169849824726</v>
      </c>
      <c r="AK28" s="25">
        <f t="shared" si="23"/>
        <v>0.09659079195832487</v>
      </c>
      <c r="AL28" s="25">
        <f t="shared" si="24"/>
        <v>0.0812971137101253</v>
      </c>
      <c r="AM28" s="25">
        <f t="shared" si="25"/>
        <v>1</v>
      </c>
      <c r="AN28" s="26">
        <f t="shared" si="26"/>
        <v>2.1032276635456717</v>
      </c>
      <c r="AO28" s="5">
        <f t="shared" si="27"/>
        <v>12.300559692261906</v>
      </c>
      <c r="AP28" s="25">
        <f t="shared" si="28"/>
        <v>0.0011647191365648218</v>
      </c>
      <c r="AQ28" s="26">
        <f t="shared" si="29"/>
        <v>3.5322362798554465</v>
      </c>
      <c r="AR28" s="26">
        <f t="shared" si="30"/>
        <v>2.682627442966322</v>
      </c>
      <c r="AS28" s="5"/>
      <c r="AU28" s="5"/>
      <c r="AV28" s="5" t="s">
        <v>90</v>
      </c>
      <c r="AW28" s="5"/>
      <c r="AX28" s="5">
        <f>AX21-AX22</f>
        <v>0.22669867938508803</v>
      </c>
      <c r="AY28" s="5">
        <f>AY21-AY22</f>
        <v>0.20274799359641787</v>
      </c>
      <c r="AZ28" s="5">
        <f>AZ21-AZ22</f>
        <v>0.1487474897071879</v>
      </c>
      <c r="BA28" s="5">
        <f>BA21-BA22</f>
        <v>0.1159227723025657</v>
      </c>
      <c r="BB28" s="5"/>
      <c r="BD28" s="23">
        <f>BD27-2</f>
        <v>38</v>
      </c>
      <c r="BE28" s="23">
        <f aca="true" t="shared" si="46" ref="BE28:BE44">$AX$24*(BD28/100)^(-$AX$25)</f>
        <v>16.229850331793806</v>
      </c>
      <c r="BF28" s="23">
        <f t="shared" si="41"/>
        <v>18.997377754084948</v>
      </c>
      <c r="BG28" s="23">
        <f t="shared" si="37"/>
        <v>19.374192735367856</v>
      </c>
      <c r="BH28" s="23">
        <f t="shared" si="35"/>
        <v>171.83758660439585</v>
      </c>
      <c r="BI28" s="23">
        <v>38</v>
      </c>
      <c r="BJ28" s="24">
        <f t="shared" si="39"/>
        <v>0.6103542483787457</v>
      </c>
      <c r="BK28" s="24">
        <f t="shared" si="38"/>
        <v>0.6707943942139084</v>
      </c>
      <c r="BL28" s="24">
        <f t="shared" si="36"/>
        <v>0.08363303515362434</v>
      </c>
      <c r="BM28" s="24">
        <f t="shared" si="40"/>
        <v>0.00020366945641792504</v>
      </c>
      <c r="BO28" s="1">
        <f t="shared" si="32"/>
        <v>0.7117271240611609</v>
      </c>
      <c r="BP28" s="26">
        <f t="shared" si="34"/>
        <v>0.4527158818116783</v>
      </c>
      <c r="BQ28" s="26">
        <f t="shared" si="34"/>
        <v>0.20977470317076707</v>
      </c>
      <c r="BR28" s="26">
        <f t="shared" si="34"/>
        <v>0.07512860966968551</v>
      </c>
      <c r="BS28" s="26">
        <f t="shared" si="34"/>
        <v>0.015642724394539453</v>
      </c>
      <c r="BU28" s="5">
        <v>0.4</v>
      </c>
      <c r="BV28" s="5">
        <v>0.2566437511884162</v>
      </c>
      <c r="BW28" s="5">
        <v>1.700264851623257</v>
      </c>
      <c r="BX28" s="26">
        <v>7.998976392864062</v>
      </c>
      <c r="CA28" s="1">
        <f>CA27-2</f>
        <v>38</v>
      </c>
      <c r="CB28" s="23">
        <f t="shared" si="42"/>
        <v>16.229850331793806</v>
      </c>
      <c r="CC28" s="23">
        <f t="shared" si="43"/>
        <v>18.997377754084948</v>
      </c>
      <c r="CD28" s="23">
        <f t="shared" si="44"/>
        <v>19.374192735367856</v>
      </c>
      <c r="CE28" s="23">
        <f t="shared" si="45"/>
        <v>171.83758660439585</v>
      </c>
    </row>
    <row r="29" spans="2:83" ht="15">
      <c r="B29" s="10" t="s">
        <v>92</v>
      </c>
      <c r="I29" s="5"/>
      <c r="J29" s="5"/>
      <c r="K29" s="5"/>
      <c r="M29" s="5"/>
      <c r="N29" s="5"/>
      <c r="O29" s="5"/>
      <c r="P29" s="5"/>
      <c r="Q29" s="5"/>
      <c r="R29" s="5"/>
      <c r="S29" s="5"/>
      <c r="T29" s="5"/>
      <c r="U29" s="5"/>
      <c r="W29" s="5"/>
      <c r="X29" s="5"/>
      <c r="Y29" s="25"/>
      <c r="Z29" s="25"/>
      <c r="AA29" s="5"/>
      <c r="AB29" s="5"/>
      <c r="AC29" s="5"/>
      <c r="AD29" s="25"/>
      <c r="AE29" s="5"/>
      <c r="AF29" s="5"/>
      <c r="AG29" s="5"/>
      <c r="AH29" s="5"/>
      <c r="AI29" s="25"/>
      <c r="AJ29" s="25"/>
      <c r="AK29" s="25"/>
      <c r="AL29" s="25"/>
      <c r="AM29" s="25"/>
      <c r="AN29" s="26"/>
      <c r="AO29" s="5"/>
      <c r="AP29" s="25"/>
      <c r="AQ29" s="26"/>
      <c r="AR29" s="26"/>
      <c r="AS29" s="5"/>
      <c r="AV29" s="1" t="s">
        <v>91</v>
      </c>
      <c r="AX29" s="5">
        <f>K30</f>
        <v>0</v>
      </c>
      <c r="AY29" s="5">
        <f>K31</f>
        <v>0</v>
      </c>
      <c r="AZ29" s="5">
        <f>K32</f>
        <v>0</v>
      </c>
      <c r="BA29" s="5">
        <f>K33</f>
        <v>0</v>
      </c>
      <c r="BB29" s="5"/>
      <c r="BD29" s="23">
        <f>BD28-2</f>
        <v>36</v>
      </c>
      <c r="BE29" s="23">
        <f t="shared" si="46"/>
        <v>18.274468559432222</v>
      </c>
      <c r="BF29" s="23">
        <f t="shared" si="41"/>
        <v>23.626391061366206</v>
      </c>
      <c r="BG29" s="23">
        <f t="shared" si="37"/>
        <v>28.209215945160793</v>
      </c>
      <c r="BH29" s="23">
        <f t="shared" si="35"/>
        <v>334.15563229948543</v>
      </c>
      <c r="BI29" s="23">
        <v>36</v>
      </c>
      <c r="BJ29" s="24">
        <f t="shared" si="39"/>
        <v>0.409334360488617</v>
      </c>
      <c r="BK29" s="24">
        <f t="shared" si="38"/>
        <v>0.3687556455610632</v>
      </c>
      <c r="BL29" s="24">
        <f t="shared" si="36"/>
        <v>0.03354283542810304</v>
      </c>
      <c r="BM29" s="24">
        <f t="shared" si="40"/>
        <v>4.5795349147787075E-05</v>
      </c>
      <c r="BO29" s="1">
        <f t="shared" si="32"/>
        <v>0.6742678017421524</v>
      </c>
      <c r="BP29" s="26">
        <f t="shared" si="34"/>
        <v>0.2391782097609618</v>
      </c>
      <c r="BQ29" s="26">
        <f t="shared" si="34"/>
        <v>0.11003363297820933</v>
      </c>
      <c r="BR29" s="26">
        <f t="shared" si="34"/>
        <v>0.03911249326845819</v>
      </c>
      <c r="BS29" s="26">
        <f t="shared" si="34"/>
        <v>0.008080011385348466</v>
      </c>
      <c r="BU29" s="5">
        <v>0.45</v>
      </c>
      <c r="BV29" s="5">
        <v>0.2976126864039706</v>
      </c>
      <c r="BW29" s="5">
        <v>1.7526080421567158</v>
      </c>
      <c r="BX29" s="26">
        <v>7.423355525641194</v>
      </c>
      <c r="CA29" s="1">
        <f>CA28-2</f>
        <v>36</v>
      </c>
      <c r="CB29" s="23">
        <f t="shared" si="42"/>
        <v>18.274468559432222</v>
      </c>
      <c r="CC29" s="23">
        <f t="shared" si="43"/>
        <v>23.626391061366206</v>
      </c>
      <c r="CD29" s="23">
        <f t="shared" si="44"/>
        <v>28.209215945160793</v>
      </c>
      <c r="CE29" s="23">
        <f t="shared" si="45"/>
        <v>334.15563229948543</v>
      </c>
    </row>
    <row r="30" spans="2:83" ht="15">
      <c r="B30" s="1">
        <v>3</v>
      </c>
      <c r="F30" s="5">
        <v>0.05</v>
      </c>
      <c r="G30" s="5">
        <v>0.05</v>
      </c>
      <c r="H30" s="5">
        <v>1</v>
      </c>
      <c r="I30" s="5">
        <v>1.2</v>
      </c>
      <c r="J30" s="5">
        <v>0</v>
      </c>
      <c r="K30" s="5">
        <v>0</v>
      </c>
      <c r="L30" s="5"/>
      <c r="M30" s="5">
        <f>X30</f>
        <v>0.0483088</v>
      </c>
      <c r="N30" s="5">
        <f>AJ30</f>
        <v>0.275007479385088</v>
      </c>
      <c r="O30" s="5">
        <f>AH30</f>
        <v>0.29524175313664003</v>
      </c>
      <c r="P30" s="5">
        <f>(N30-M30)*(1-T30)</f>
        <v>0.22669867938508803</v>
      </c>
      <c r="Q30" s="5">
        <f>AN30</f>
        <v>0.0945573831101665</v>
      </c>
      <c r="R30" s="5">
        <f>AG30</f>
        <v>1.8676093541879037</v>
      </c>
      <c r="S30" s="5">
        <f>N30-(S$16-33)*(O30-N30)/(33-AR30)</f>
        <v>0.46340688873350877</v>
      </c>
      <c r="T30" s="5">
        <f>((R30/2.65)*J30)/(1-J30*(1-R30/2.65))</f>
        <v>0</v>
      </c>
      <c r="U30" s="5">
        <f>T30*2.65+(1-T30)*R30</f>
        <v>1.8676093541879037</v>
      </c>
      <c r="W30" s="5">
        <f>-0.024*F30+0.487*G30+0.006*H30+0.005*F30*H30-0.013*G30*H30+0.068*F30*G30+0.031</f>
        <v>0.05992</v>
      </c>
      <c r="X30" s="5">
        <f>W30+0.14*W30-0.02</f>
        <v>0.0483088</v>
      </c>
      <c r="Y30" s="25">
        <f>-0.251*F30+0.195*G30+0.011*H30+0.006*F30*H30-0.027*G30*H30+0.452*F30*G30+0.299</f>
        <v>0.30728</v>
      </c>
      <c r="Z30" s="25">
        <f>Y30+(1.283*Y30*Y30-0.374*Y30-0.015)</f>
        <v>0.2984994209472</v>
      </c>
      <c r="AA30" s="5">
        <f>0.278*F30+0.034*G30+0.022*H30-0.018*F30*H30-0.027*G30*H30-0.584*F30*G30+0.078</f>
        <v>0.11189</v>
      </c>
      <c r="AB30" s="5">
        <f>AA30+(0.636*AA30-0.107)</f>
        <v>0.07605204000000002</v>
      </c>
      <c r="AC30" s="5">
        <f>AB30+Z30</f>
        <v>0.37455146094720004</v>
      </c>
      <c r="AD30" s="25">
        <f>-0.097*F30+0.043</f>
        <v>0.038149999999999996</v>
      </c>
      <c r="AE30" s="5">
        <f>AC30+AD30</f>
        <v>0.41270146094720006</v>
      </c>
      <c r="AF30" s="5">
        <f>(1-AE30)*2.65</f>
        <v>1.5563411284899198</v>
      </c>
      <c r="AG30" s="5">
        <f>AF30*(I30)</f>
        <v>1.8676093541879037</v>
      </c>
      <c r="AH30" s="5">
        <f>1-(AG30/2.65)</f>
        <v>0.29524175313664003</v>
      </c>
      <c r="AI30" s="25">
        <f>(1-AG30/2.65)-(1-AF30/2.65)</f>
        <v>-0.11745970781056003</v>
      </c>
      <c r="AJ30" s="25">
        <f>Z30+0.2*AI30</f>
        <v>0.275007479385088</v>
      </c>
      <c r="AK30" s="25">
        <f>AH30-AJ30</f>
        <v>0.020234273751552012</v>
      </c>
      <c r="AL30" s="25">
        <f>(LN(AJ30)-LN(X30))/(LN(1500)-LN(33))</f>
        <v>0.45567603218781183</v>
      </c>
      <c r="AM30" s="25">
        <f>(1-J30)/(1-J30*(1-1.5*(R30/2.65)))</f>
        <v>1</v>
      </c>
      <c r="AN30" s="26">
        <f>1930*(AK30)^(3-AL30)*AM30</f>
        <v>0.0945573831101665</v>
      </c>
      <c r="AO30" s="5">
        <f>(LN(1500)-LN(33))/(LN(AJ30)-LN(X30))</f>
        <v>2.194541580777808</v>
      </c>
      <c r="AP30" s="25">
        <f>EXP(LN(33)+(AO30*LN(AJ30)))</f>
        <v>1.941476529475999</v>
      </c>
      <c r="AQ30" s="26">
        <f>-21.674*$F30-27.932*$G30-81.975*$AK30+71.121*$F30*$AK30+8.294*$G30*$AK30+14.05*$F30*$G30+27.161</f>
        <v>23.1374656517155</v>
      </c>
      <c r="AR30" s="26">
        <f>AQ30+(0.02*AQ30^2-0.113*AQ30-0.7)</f>
        <v>30.529778368757942</v>
      </c>
      <c r="AS30" s="5"/>
      <c r="AU30" s="5"/>
      <c r="AV30" s="1" t="s">
        <v>93</v>
      </c>
      <c r="AW30" s="5"/>
      <c r="AX30" s="5">
        <f>(1-AX23)*2.65</f>
        <v>1.867609354187904</v>
      </c>
      <c r="AY30" s="5">
        <f>(1-AY23)*2.65</f>
        <v>1.312211586644139</v>
      </c>
      <c r="AZ30" s="5">
        <f>(1-AZ23)*2.65</f>
        <v>1.3336107378659472</v>
      </c>
      <c r="BA30" s="5">
        <f>(1-BA23)*2.65</f>
        <v>1.2424724002900838</v>
      </c>
      <c r="BB30" s="5"/>
      <c r="BD30" s="23">
        <v>34</v>
      </c>
      <c r="BE30" s="23">
        <f t="shared" si="46"/>
        <v>20.716726985240378</v>
      </c>
      <c r="BF30" s="23">
        <f t="shared" si="41"/>
        <v>29.751963103559824</v>
      </c>
      <c r="BG30" s="23">
        <f t="shared" si="37"/>
        <v>41.96499801349002</v>
      </c>
      <c r="BH30" s="23">
        <f t="shared" si="35"/>
        <v>674.9828821482191</v>
      </c>
      <c r="BI30" s="23">
        <v>34</v>
      </c>
      <c r="BJ30" s="24">
        <f t="shared" si="39"/>
        <v>0.2683210083623947</v>
      </c>
      <c r="BK30" s="24">
        <f t="shared" si="38"/>
        <v>0.19589865283684277</v>
      </c>
      <c r="BL30" s="24">
        <f t="shared" si="36"/>
        <v>0.012768404638932791</v>
      </c>
      <c r="BM30" s="24">
        <f t="shared" si="40"/>
        <v>9.455024891601323E-06</v>
      </c>
      <c r="BO30" s="1">
        <f t="shared" si="32"/>
        <v>0.636808479423144</v>
      </c>
      <c r="BP30" s="26">
        <f t="shared" si="34"/>
        <v>0.12183570482790193</v>
      </c>
      <c r="BQ30" s="26">
        <f t="shared" si="34"/>
        <v>0.05562580322813337</v>
      </c>
      <c r="BR30" s="26">
        <f t="shared" si="34"/>
        <v>0.019616324959359152</v>
      </c>
      <c r="BS30" s="26">
        <f t="shared" si="34"/>
        <v>0.0040189125403382545</v>
      </c>
      <c r="BU30" s="5">
        <v>0.5</v>
      </c>
      <c r="BV30" s="5">
        <v>0.3411842268677897</v>
      </c>
      <c r="BW30" s="5">
        <v>1.8082764023992852</v>
      </c>
      <c r="BX30" s="26">
        <v>6.833273777489683</v>
      </c>
      <c r="CA30" s="1">
        <v>34</v>
      </c>
      <c r="CB30" s="23">
        <f t="shared" si="42"/>
        <v>20.716726985240378</v>
      </c>
      <c r="CC30" s="23">
        <f t="shared" si="43"/>
        <v>29.751963103559824</v>
      </c>
      <c r="CD30" s="23">
        <f t="shared" si="44"/>
        <v>41.96499801349002</v>
      </c>
      <c r="CE30" s="23">
        <f t="shared" si="45"/>
        <v>674.9828821482191</v>
      </c>
    </row>
    <row r="31" spans="2:83" ht="15">
      <c r="B31" s="1">
        <v>5</v>
      </c>
      <c r="F31" s="5">
        <v>0.15038994565217392</v>
      </c>
      <c r="G31" s="5">
        <v>0.1801073369565219</v>
      </c>
      <c r="H31" s="5">
        <v>3.045249239130434</v>
      </c>
      <c r="I31" s="5">
        <v>1</v>
      </c>
      <c r="J31" s="5">
        <v>0</v>
      </c>
      <c r="K31" s="5">
        <v>0</v>
      </c>
      <c r="M31" s="5">
        <f>X31</f>
        <v>0.1286286654128268</v>
      </c>
      <c r="N31" s="5">
        <f>AJ31</f>
        <v>0.3313766590092447</v>
      </c>
      <c r="O31" s="5">
        <f>AH31</f>
        <v>0.5048258163607022</v>
      </c>
      <c r="P31" s="5">
        <f>(N31-M31)*(1-T31)</f>
        <v>0.20274799359641787</v>
      </c>
      <c r="Q31" s="5">
        <f>AN31</f>
        <v>15.54946932044418</v>
      </c>
      <c r="R31" s="5">
        <f>AG31</f>
        <v>1.3122115866441388</v>
      </c>
      <c r="S31" s="5">
        <f>N31-(S$16-33)*(O31-N31)/(33-AR31)</f>
        <v>0.4828378667433999</v>
      </c>
      <c r="T31" s="5">
        <f>((R31/2.65)*J31)/(1-J31*(1-R31/2.65))</f>
        <v>0</v>
      </c>
      <c r="U31" s="5">
        <f>T31*2.65+(1-T31)*R31</f>
        <v>1.3122115866441388</v>
      </c>
      <c r="W31" s="5">
        <f>-0.024*F31+0.487*G31+0.006*H31+0.005*F31*H31-0.013*G31*H31+0.068*F31*G31+0.031</f>
        <v>0.13037602229195333</v>
      </c>
      <c r="X31" s="5">
        <f>W31+0.14*W31-0.02</f>
        <v>0.1286286654128268</v>
      </c>
      <c r="Y31" s="25">
        <f>-0.251*F31+0.195*G31+0.011*H31+0.006*F31*H31-0.027*G31*H31+0.452*F31*G31+0.299</f>
        <v>0.33005293079394304</v>
      </c>
      <c r="Z31" s="25">
        <f>Y31+(1.283*Y31*Y31-0.374*Y31-0.015)</f>
        <v>0.3313766590092447</v>
      </c>
      <c r="AA31" s="5">
        <f>0.278*F31+0.034*G31+0.022*H31-0.018*F31*H31-0.027*G31*H31-0.584*F31*G31+0.078</f>
        <v>0.15405683501205292</v>
      </c>
      <c r="AB31" s="5">
        <f>AA31+(0.636*AA31-0.107)</f>
        <v>0.14503698207971857</v>
      </c>
      <c r="AC31" s="5">
        <f>AB31+Z31</f>
        <v>0.4764136410889632</v>
      </c>
      <c r="AD31" s="25">
        <f>-0.097*F31+0.043</f>
        <v>0.028412175271739126</v>
      </c>
      <c r="AE31" s="5">
        <f>AC31+AD31</f>
        <v>0.5048258163607023</v>
      </c>
      <c r="AF31" s="5">
        <f>(1-AE31)*2.65</f>
        <v>1.3122115866441388</v>
      </c>
      <c r="AG31" s="5">
        <f>AF31*(I31)</f>
        <v>1.3122115866441388</v>
      </c>
      <c r="AH31" s="5">
        <f>1-(AG31/2.65)</f>
        <v>0.5048258163607022</v>
      </c>
      <c r="AI31" s="25">
        <f>(1-AG31/2.65)-(1-AF31/2.65)</f>
        <v>0</v>
      </c>
      <c r="AJ31" s="25">
        <f>Z31+0.2*AI31</f>
        <v>0.3313766590092447</v>
      </c>
      <c r="AK31" s="25">
        <f>AH31-AJ31</f>
        <v>0.17344915735145755</v>
      </c>
      <c r="AL31" s="25">
        <f>(LN(AJ31)-LN(X31))/(LN(1500)-LN(33))</f>
        <v>0.24794267308849663</v>
      </c>
      <c r="AM31" s="25">
        <f>(1-J31)/(1-J31*(1-1.5*(R31/2.65)))</f>
        <v>1</v>
      </c>
      <c r="AN31" s="26">
        <f>1930*(AK31)^(3-AL31)*AM31</f>
        <v>15.54946932044418</v>
      </c>
      <c r="AO31" s="5">
        <f>(LN(1500)-LN(33))/(LN(AJ31)-LN(X31))</f>
        <v>4.033190364302785</v>
      </c>
      <c r="AP31" s="25">
        <f>EXP(LN(33)+(AO31*LN(AJ31)))</f>
        <v>0.3836020412560078</v>
      </c>
      <c r="AQ31" s="26">
        <f>-21.674*$F31-27.932*$G31-81.975*$AK31+71.121*$F31*$AK31+8.294*$G31*$AK31+14.05*$F31*$G31+27.161</f>
        <v>7.147050560821015</v>
      </c>
      <c r="AR31" s="26">
        <f>AQ31+(0.02*AQ31^2-0.113*AQ31-0.7)</f>
        <v>6.66104048182688</v>
      </c>
      <c r="AS31" s="5"/>
      <c r="AV31" s="1" t="s">
        <v>94</v>
      </c>
      <c r="AX31" s="5">
        <f>AX30/2.65</f>
        <v>0.70475824686336</v>
      </c>
      <c r="AY31" s="5">
        <f>AY30/2.65</f>
        <v>0.49517418363929777</v>
      </c>
      <c r="AZ31" s="5">
        <f>AZ30/2.65</f>
        <v>0.5032493350437537</v>
      </c>
      <c r="BA31" s="5">
        <f>BA30/2.65</f>
        <v>0.46885750954342786</v>
      </c>
      <c r="BB31" s="5"/>
      <c r="BD31" s="23">
        <v>32</v>
      </c>
      <c r="BE31" s="23">
        <f t="shared" si="46"/>
        <v>23.664704921007893</v>
      </c>
      <c r="BF31" s="23">
        <f t="shared" si="41"/>
        <v>37.99314531617837</v>
      </c>
      <c r="BG31" s="23">
        <f t="shared" si="37"/>
        <v>63.95049859967763</v>
      </c>
      <c r="BH31" s="23">
        <f t="shared" si="35"/>
        <v>1422.8314017845553</v>
      </c>
      <c r="BI31" s="23">
        <v>32</v>
      </c>
      <c r="BJ31" s="24">
        <f t="shared" si="39"/>
        <v>0.1714383426498765</v>
      </c>
      <c r="BK31" s="24">
        <f t="shared" si="38"/>
        <v>0.10015332898891266</v>
      </c>
      <c r="BL31" s="24">
        <f t="shared" si="36"/>
        <v>0.004583912987214286</v>
      </c>
      <c r="BM31" s="24">
        <f t="shared" si="40"/>
        <v>1.7740035949463395E-06</v>
      </c>
      <c r="BO31" s="1">
        <f t="shared" si="32"/>
        <v>0.5993491571041355</v>
      </c>
      <c r="BP31" s="26">
        <f t="shared" si="34"/>
        <v>0.05957480332055156</v>
      </c>
      <c r="BQ31" s="26">
        <f t="shared" si="34"/>
        <v>0.02698124329674214</v>
      </c>
      <c r="BR31" s="26">
        <f t="shared" si="34"/>
        <v>0.009435077610803443</v>
      </c>
      <c r="BS31" s="26">
        <f t="shared" si="34"/>
        <v>0.0019160735343759356</v>
      </c>
      <c r="BU31" s="5">
        <v>0.55</v>
      </c>
      <c r="BV31" s="5">
        <v>0.3876145091439608</v>
      </c>
      <c r="BW31" s="5">
        <v>1.8675971804209017</v>
      </c>
      <c r="BX31" s="26">
        <v>6.228179281944016</v>
      </c>
      <c r="CA31" s="1">
        <v>32</v>
      </c>
      <c r="CB31" s="23">
        <f t="shared" si="42"/>
        <v>23.664704921007893</v>
      </c>
      <c r="CC31" s="23">
        <f t="shared" si="43"/>
        <v>37.99314531617837</v>
      </c>
      <c r="CD31" s="23">
        <f t="shared" si="44"/>
        <v>63.95049859967763</v>
      </c>
      <c r="CE31" s="23">
        <f t="shared" si="45"/>
        <v>1422.8314017845553</v>
      </c>
    </row>
    <row r="32" spans="2:83" ht="15">
      <c r="B32" s="1">
        <v>8</v>
      </c>
      <c r="F32" s="5">
        <v>0.2911769230769231</v>
      </c>
      <c r="G32" s="5">
        <v>0.3157692307692308</v>
      </c>
      <c r="H32" s="5">
        <v>3.5097987692307693</v>
      </c>
      <c r="I32" s="5">
        <v>1</v>
      </c>
      <c r="J32" s="5">
        <v>0</v>
      </c>
      <c r="K32" s="5">
        <v>0</v>
      </c>
      <c r="M32" s="5">
        <f>X32</f>
        <v>0.20321717607297188</v>
      </c>
      <c r="N32" s="5">
        <f>AJ32</f>
        <v>0.3519646657801598</v>
      </c>
      <c r="O32" s="5">
        <f>AH32</f>
        <v>0.4967506649562463</v>
      </c>
      <c r="P32" s="5">
        <f>(N32-M32)*(1-T32)</f>
        <v>0.1487474897071879</v>
      </c>
      <c r="Q32" s="5">
        <f>AN32</f>
        <v>7.735977208659201</v>
      </c>
      <c r="R32" s="5">
        <f>AG32</f>
        <v>1.3336107378659472</v>
      </c>
      <c r="S32" s="5">
        <f>N32-(S$16-33)*(O32-N32)/(33-AR32)</f>
        <v>0.4669985119200473</v>
      </c>
      <c r="T32" s="5">
        <f>((R32/2.65)*J32)/(1-J32*(1-R32/2.65))</f>
        <v>0</v>
      </c>
      <c r="U32" s="5">
        <f>T32*2.65+(1-T32)*R32</f>
        <v>1.3336107378659472</v>
      </c>
      <c r="W32" s="5">
        <f>-0.024*F32+0.487*G32+0.006*H32+0.005*F32*H32-0.013*G32*H32+0.068*F32*G32+0.031</f>
        <v>0.1958045404148876</v>
      </c>
      <c r="X32" s="5">
        <f>W32+0.14*W32-0.02</f>
        <v>0.20321717607297188</v>
      </c>
      <c r="Y32" s="25">
        <f>-0.251*F32+0.195*G32+0.011*H32+0.006*F32*H32-0.027*G32*H32+0.452*F32*G32+0.299</f>
        <v>0.34386448913781775</v>
      </c>
      <c r="Z32" s="25">
        <f>Y32+(1.283*Y32*Y32-0.374*Y32-0.015)</f>
        <v>0.3519646657801598</v>
      </c>
      <c r="AA32" s="5">
        <f>0.278*F32+0.034*G32+0.022*H32-0.018*F32*H32-0.027*G32*H32-0.584*F32*G32+0.078</f>
        <v>0.14488396131696096</v>
      </c>
      <c r="AB32" s="5">
        <f>AA32+(0.636*AA32-0.107)</f>
        <v>0.13003016071454815</v>
      </c>
      <c r="AC32" s="5">
        <f>AB32+Z32</f>
        <v>0.48199482649470793</v>
      </c>
      <c r="AD32" s="25">
        <f>-0.097*F32+0.043</f>
        <v>0.014755838461538454</v>
      </c>
      <c r="AE32" s="5">
        <f>AC32+AD32</f>
        <v>0.49675066495624637</v>
      </c>
      <c r="AF32" s="5">
        <f>(1-AE32)*2.65</f>
        <v>1.3336107378659472</v>
      </c>
      <c r="AG32" s="5">
        <f>AF32*(I32)</f>
        <v>1.3336107378659472</v>
      </c>
      <c r="AH32" s="5">
        <f>1-(AG32/2.65)</f>
        <v>0.4967506649562463</v>
      </c>
      <c r="AI32" s="25">
        <f>(1-AG32/2.65)-(1-AF32/2.65)</f>
        <v>0</v>
      </c>
      <c r="AJ32" s="25">
        <f>Z32+0.2*AI32</f>
        <v>0.3519646657801598</v>
      </c>
      <c r="AK32" s="25">
        <f>AH32-AJ32</f>
        <v>0.14478599917608653</v>
      </c>
      <c r="AL32" s="25">
        <f>(LN(AJ32)-LN(X32))/(LN(1500)-LN(33))</f>
        <v>0.14390801045221607</v>
      </c>
      <c r="AM32" s="25">
        <f>(1-J32)/(1-J32*(1-1.5*(R32/2.65)))</f>
        <v>1</v>
      </c>
      <c r="AN32" s="26">
        <f>1930*(AK32)^(3-AL32)*AM32</f>
        <v>7.735977208659201</v>
      </c>
      <c r="AO32" s="5">
        <f>(LN(1500)-LN(33))/(LN(AJ32)-LN(X32))</f>
        <v>6.948883504522112</v>
      </c>
      <c r="AP32" s="25">
        <f>EXP(LN(33)+(AO32*LN(AJ32)))</f>
        <v>0.023291034677899374</v>
      </c>
      <c r="AQ32" s="26">
        <f>-21.674*$F32-27.932*$G32-81.975*$AK32+71.121*$F32*$AK32+8.294*$G32*$AK32+14.05*$F32*$G32+27.161</f>
        <v>4.830492658032089</v>
      </c>
      <c r="AR32" s="26">
        <f>AQ32+(0.02*AQ32^2-0.113*AQ32-0.7)</f>
        <v>4.051320174060502</v>
      </c>
      <c r="AS32" s="5"/>
      <c r="AV32" s="5" t="s">
        <v>95</v>
      </c>
      <c r="AX32" s="5">
        <f>(AX31*$J30)/(1-$J30*(1-AX31))</f>
        <v>0</v>
      </c>
      <c r="AY32" s="5">
        <f>(AY31*$J31)/(1-$J31*(1-AY31))</f>
        <v>0</v>
      </c>
      <c r="AZ32" s="5">
        <f>(AZ31*$J32)/(1-$J32*(1-AZ31))</f>
        <v>0</v>
      </c>
      <c r="BA32" s="5">
        <f>(BA31*$J33)/(1-$J33*(1-BA31))</f>
        <v>0</v>
      </c>
      <c r="BB32" s="5"/>
      <c r="BD32" s="23">
        <f aca="true" t="shared" si="47" ref="BD32:BD37">BD31-2</f>
        <v>30</v>
      </c>
      <c r="BE32" s="23">
        <f t="shared" si="46"/>
        <v>27.26536355655754</v>
      </c>
      <c r="BF32" s="23">
        <f t="shared" si="41"/>
        <v>49.28904762287019</v>
      </c>
      <c r="BG32" s="23">
        <f t="shared" si="37"/>
        <v>100.14107978969797</v>
      </c>
      <c r="BH32" s="23">
        <f t="shared" si="35"/>
        <v>3147.1861344512204</v>
      </c>
      <c r="BI32" s="23">
        <v>30</v>
      </c>
      <c r="BJ32" s="24">
        <f t="shared" si="39"/>
        <v>0.10641464241036659</v>
      </c>
      <c r="BK32" s="24">
        <f t="shared" si="38"/>
        <v>0.04903304482595519</v>
      </c>
      <c r="BL32" s="24">
        <f t="shared" si="36"/>
        <v>0.0015403291141728162</v>
      </c>
      <c r="BM32" s="24">
        <f t="shared" si="40"/>
        <v>2.9876543360453353E-07</v>
      </c>
      <c r="BO32" s="1">
        <f t="shared" si="32"/>
        <v>0.561889834785127</v>
      </c>
      <c r="BP32" s="26">
        <f t="shared" si="34"/>
        <v>0.027815778843141716</v>
      </c>
      <c r="BQ32" s="26">
        <f t="shared" si="34"/>
        <v>0.012489989680379886</v>
      </c>
      <c r="BR32" s="26">
        <f t="shared" si="34"/>
        <v>0.004328641480800227</v>
      </c>
      <c r="BS32" s="26">
        <f t="shared" si="34"/>
        <v>0.0008708577282083045</v>
      </c>
      <c r="BU32" s="5">
        <v>0.6</v>
      </c>
      <c r="BV32" s="5">
        <v>0.4371944201814284</v>
      </c>
      <c r="BW32" s="5">
        <v>1.9309420224679754</v>
      </c>
      <c r="BX32" s="26">
        <v>5.607491729757862</v>
      </c>
      <c r="CA32" s="1">
        <f aca="true" t="shared" si="48" ref="CA32:CA37">CA31-2</f>
        <v>30</v>
      </c>
      <c r="CB32" s="23">
        <f t="shared" si="42"/>
        <v>27.26536355655754</v>
      </c>
      <c r="CC32" s="23">
        <f t="shared" si="43"/>
        <v>49.28904762287019</v>
      </c>
      <c r="CD32" s="23">
        <f t="shared" si="44"/>
        <v>100.14107978969797</v>
      </c>
      <c r="CE32" s="23">
        <f t="shared" si="45"/>
        <v>3147.1861344512204</v>
      </c>
    </row>
    <row r="33" spans="2:83" ht="15">
      <c r="B33" s="1">
        <v>11</v>
      </c>
      <c r="F33" s="5">
        <v>0.12736428571428574</v>
      </c>
      <c r="G33" s="5">
        <v>0.545557142857143</v>
      </c>
      <c r="H33" s="5">
        <v>2.88</v>
      </c>
      <c r="I33" s="5">
        <v>1</v>
      </c>
      <c r="J33" s="5">
        <v>0</v>
      </c>
      <c r="K33" s="5">
        <v>0</v>
      </c>
      <c r="M33" s="5">
        <f>X33</f>
        <v>0.31862892619568156</v>
      </c>
      <c r="N33" s="5">
        <f>AJ33</f>
        <v>0.43455169849824726</v>
      </c>
      <c r="O33" s="5">
        <f>AH33</f>
        <v>0.5311424904565721</v>
      </c>
      <c r="P33" s="5">
        <f>(N33-M33)*(1-T33)</f>
        <v>0.1159227723025657</v>
      </c>
      <c r="Q33" s="5">
        <f>AN33</f>
        <v>2.1032276635456717</v>
      </c>
      <c r="R33" s="5">
        <f>AG33</f>
        <v>1.2424724002900838</v>
      </c>
      <c r="S33" s="5">
        <f>N33-(S$16-33)*(O33-N33)/(33-AR33)</f>
        <v>0.5078294276570711</v>
      </c>
      <c r="T33" s="5">
        <f>((R33/2.65)*J33)/(1-J33*(1-R33/2.65))</f>
        <v>0</v>
      </c>
      <c r="U33" s="5">
        <f>T33*2.65+(1-T33)*R33</f>
        <v>1.2424724002900838</v>
      </c>
      <c r="W33" s="5">
        <f>-0.024*F33+0.487*G33+0.006*H33+0.005*F33*H33-0.013*G33*H33+0.068*F33*G33+0.031</f>
        <v>0.29704291771551017</v>
      </c>
      <c r="X33" s="5">
        <f>W33+0.14*W33-0.02</f>
        <v>0.31862892619568156</v>
      </c>
      <c r="Y33" s="25">
        <f>-0.251*F33+0.195*G33+0.011*H33+0.006*F33*H33-0.027*G33*H33+0.452*F33*G33+0.299</f>
        <v>0.39628053068040814</v>
      </c>
      <c r="Z33" s="25">
        <f>Y33+(1.283*Y33*Y33-0.374*Y33-0.015)</f>
        <v>0.43455169849824726</v>
      </c>
      <c r="AA33" s="5">
        <f>0.278*F33+0.034*G33+0.022*H33-0.018*F33*H33-0.027*G33*H33-0.584*F33*G33+0.078</f>
        <v>0.10571218072897959</v>
      </c>
      <c r="AB33" s="5">
        <f>AA33+(0.636*AA33-0.107)</f>
        <v>0.06594512767261061</v>
      </c>
      <c r="AC33" s="5">
        <f>AB33+Z33</f>
        <v>0.5004968261708579</v>
      </c>
      <c r="AD33" s="25">
        <f>-0.097*F33+0.043</f>
        <v>0.03064566428571428</v>
      </c>
      <c r="AE33" s="5">
        <f>AC33+AD33</f>
        <v>0.5311424904565721</v>
      </c>
      <c r="AF33" s="5">
        <f>(1-AE33)*2.65</f>
        <v>1.2424724002900838</v>
      </c>
      <c r="AG33" s="5">
        <f>AF33*(I33)</f>
        <v>1.2424724002900838</v>
      </c>
      <c r="AH33" s="5">
        <f>1-(AG33/2.65)</f>
        <v>0.5311424904565721</v>
      </c>
      <c r="AI33" s="25">
        <f>(1-AG33/2.65)-(1-AF33/2.65)</f>
        <v>0</v>
      </c>
      <c r="AJ33" s="25">
        <f>Z33+0.2*AI33</f>
        <v>0.43455169849824726</v>
      </c>
      <c r="AK33" s="25">
        <f>AH33-AJ33</f>
        <v>0.09659079195832487</v>
      </c>
      <c r="AL33" s="25">
        <f>(LN(AJ33)-LN(X33))/(LN(1500)-LN(33))</f>
        <v>0.0812971137101253</v>
      </c>
      <c r="AM33" s="25">
        <f>(1-J33)/(1-J33*(1-1.5*(R33/2.65)))</f>
        <v>1</v>
      </c>
      <c r="AN33" s="26">
        <f>1930*(AK33)^(3-AL33)*AM33</f>
        <v>2.1032276635456717</v>
      </c>
      <c r="AO33" s="5">
        <f>(LN(1500)-LN(33))/(LN(AJ33)-LN(X33))</f>
        <v>12.300559692261906</v>
      </c>
      <c r="AP33" s="25">
        <f>EXP(LN(33)+(AO33*LN(AJ33)))</f>
        <v>0.0011647191365648218</v>
      </c>
      <c r="AQ33" s="26">
        <f>-21.674*$F33-27.932*$G33-81.975*$AK33+71.121*$F33*$AK33+8.294*$G33*$AK33+14.05*$F33*$G33+27.161</f>
        <v>3.5322362798554465</v>
      </c>
      <c r="AR33" s="26">
        <f>AQ33+(0.02*AQ33^2-0.113*AQ33-0.7)</f>
        <v>2.682627442966322</v>
      </c>
      <c r="AS33" s="5"/>
      <c r="AV33" s="1" t="s">
        <v>96</v>
      </c>
      <c r="AX33" s="5">
        <f>AX28*(1-AX32)</f>
        <v>0.22669867938508803</v>
      </c>
      <c r="AY33" s="5">
        <f>AY28*(1-AY32)</f>
        <v>0.20274799359641787</v>
      </c>
      <c r="AZ33" s="5">
        <f>AZ28*(1-AZ32)</f>
        <v>0.1487474897071879</v>
      </c>
      <c r="BA33" s="5">
        <f>BA28*(1-BA32)</f>
        <v>0.1159227723025657</v>
      </c>
      <c r="BB33" s="5"/>
      <c r="BD33" s="23">
        <f t="shared" si="47"/>
        <v>28</v>
      </c>
      <c r="BE33" s="23">
        <f t="shared" si="46"/>
        <v>31.722458108585137</v>
      </c>
      <c r="BF33" s="23">
        <f t="shared" si="41"/>
        <v>65.1025216250145</v>
      </c>
      <c r="BG33" s="23">
        <f t="shared" si="37"/>
        <v>161.74215254443058</v>
      </c>
      <c r="BH33" s="23">
        <f t="shared" si="35"/>
        <v>7353.377246643343</v>
      </c>
      <c r="BI33" s="23">
        <v>28</v>
      </c>
      <c r="BJ33" s="24">
        <f t="shared" si="39"/>
        <v>0.06391468320522084</v>
      </c>
      <c r="BK33" s="24">
        <f t="shared" si="38"/>
        <v>0.02285095867459416</v>
      </c>
      <c r="BL33" s="24"/>
      <c r="BM33" s="24">
        <f t="shared" si="40"/>
        <v>4.449506481195466E-08</v>
      </c>
      <c r="BO33" s="1">
        <f t="shared" si="32"/>
        <v>0.5244305124661186</v>
      </c>
      <c r="BP33" s="26">
        <f t="shared" si="34"/>
        <v>0.012322263594898242</v>
      </c>
      <c r="BQ33" s="26">
        <f t="shared" si="34"/>
        <v>0.005482460726083544</v>
      </c>
      <c r="BR33" s="26">
        <f t="shared" si="34"/>
        <v>0.0018819250734118547</v>
      </c>
      <c r="BS33" s="26">
        <f t="shared" si="34"/>
        <v>0.0003748399217631878</v>
      </c>
      <c r="BU33" s="5">
        <v>0.65</v>
      </c>
      <c r="BV33" s="5">
        <v>0.49025569750739106</v>
      </c>
      <c r="BW33" s="5">
        <v>1.998734766760902</v>
      </c>
      <c r="BX33" s="26">
        <v>4.970600512586468</v>
      </c>
      <c r="CA33" s="1">
        <f t="shared" si="48"/>
        <v>28</v>
      </c>
      <c r="CB33" s="23">
        <f t="shared" si="42"/>
        <v>31.722458108585137</v>
      </c>
      <c r="CC33" s="23">
        <f t="shared" si="43"/>
        <v>65.1025216250145</v>
      </c>
      <c r="CD33" s="23">
        <f t="shared" si="44"/>
        <v>161.74215254443058</v>
      </c>
      <c r="CE33" s="23">
        <f t="shared" si="45"/>
        <v>7353.377246643343</v>
      </c>
    </row>
    <row r="34" spans="1:83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9"/>
      <c r="AJ34" s="29"/>
      <c r="AK34" s="29"/>
      <c r="AL34" s="27"/>
      <c r="AM34" s="27"/>
      <c r="AN34" s="27"/>
      <c r="AO34" s="27"/>
      <c r="AP34" s="27"/>
      <c r="AQ34" s="30"/>
      <c r="AR34" s="28"/>
      <c r="AS34" s="27"/>
      <c r="AV34" s="1" t="s">
        <v>97</v>
      </c>
      <c r="AX34" s="26">
        <f>$AN30</f>
        <v>0.0945573831101665</v>
      </c>
      <c r="AY34" s="26">
        <f>$AN31</f>
        <v>15.54946932044418</v>
      </c>
      <c r="AZ34" s="26">
        <f>$AN32</f>
        <v>7.735977208659201</v>
      </c>
      <c r="BA34" s="26">
        <f>$AN33</f>
        <v>2.1032276635456717</v>
      </c>
      <c r="BB34" s="31"/>
      <c r="BD34" s="23">
        <f t="shared" si="47"/>
        <v>26</v>
      </c>
      <c r="BE34" s="23">
        <f t="shared" si="46"/>
        <v>37.32479735054067</v>
      </c>
      <c r="BF34" s="23">
        <f t="shared" si="41"/>
        <v>87.78185727344554</v>
      </c>
      <c r="BG34" s="23">
        <f t="shared" si="37"/>
        <v>270.6891410554544</v>
      </c>
      <c r="BH34" s="23">
        <f t="shared" si="35"/>
        <v>18296.8558238306</v>
      </c>
      <c r="BI34" s="23">
        <v>26</v>
      </c>
      <c r="BJ34" s="24">
        <f t="shared" si="39"/>
        <v>0.0369645427797582</v>
      </c>
      <c r="BK34" s="24">
        <f t="shared" si="38"/>
        <v>0.010063208364173851</v>
      </c>
      <c r="BL34" s="24"/>
      <c r="BM34" s="24">
        <f t="shared" si="40"/>
        <v>5.754115242442404E-09</v>
      </c>
      <c r="BO34" s="1">
        <f t="shared" si="32"/>
        <v>0.48697119014711016</v>
      </c>
      <c r="BP34" s="26">
        <f aca="true" t="shared" si="49" ref="BP34:BR35">BP$20*$BO34^(3+2*BP$15)</f>
        <v>0.005138944944211739</v>
      </c>
      <c r="BQ34" s="26">
        <f t="shared" si="49"/>
        <v>0.002264006513201064</v>
      </c>
      <c r="BR34" s="26">
        <f t="shared" si="49"/>
        <v>0.0007691890790805057</v>
      </c>
      <c r="BS34" s="26"/>
      <c r="BU34" s="5">
        <v>0.7</v>
      </c>
      <c r="BV34" s="5">
        <v>0.5471783611943417</v>
      </c>
      <c r="BW34" s="5">
        <v>2.0714609388071508</v>
      </c>
      <c r="BX34" s="26">
        <v>4.316862719363237</v>
      </c>
      <c r="CA34" s="1">
        <f t="shared" si="48"/>
        <v>26</v>
      </c>
      <c r="CB34" s="23">
        <f t="shared" si="42"/>
        <v>37.32479735054067</v>
      </c>
      <c r="CC34" s="23">
        <f t="shared" si="43"/>
        <v>87.78185727344554</v>
      </c>
      <c r="CD34" s="23">
        <f t="shared" si="44"/>
        <v>270.6891410554544</v>
      </c>
      <c r="CE34" s="23">
        <f t="shared" si="45"/>
        <v>18296.8558238306</v>
      </c>
    </row>
    <row r="35" spans="1:83" ht="15">
      <c r="A35" s="10" t="s">
        <v>135</v>
      </c>
      <c r="M35" s="5"/>
      <c r="N35" s="5"/>
      <c r="O35" s="5"/>
      <c r="P35" s="5"/>
      <c r="Q35" s="5"/>
      <c r="S35" s="55" t="s">
        <v>150</v>
      </c>
      <c r="V35" s="5"/>
      <c r="AB35" s="1" t="s">
        <v>13</v>
      </c>
      <c r="AC35" s="1" t="s">
        <v>14</v>
      </c>
      <c r="AF35" s="1" t="s">
        <v>15</v>
      </c>
      <c r="AG35" s="1" t="s">
        <v>15</v>
      </c>
      <c r="AH35" s="1" t="s">
        <v>16</v>
      </c>
      <c r="AI35" s="1" t="s">
        <v>16</v>
      </c>
      <c r="AJ35" s="1" t="s">
        <v>17</v>
      </c>
      <c r="AK35" s="1" t="s">
        <v>18</v>
      </c>
      <c r="AM35" s="1" t="s">
        <v>19</v>
      </c>
      <c r="AO35" s="1" t="s">
        <v>20</v>
      </c>
      <c r="AP35" s="1" t="s">
        <v>20</v>
      </c>
      <c r="AY35" s="5"/>
      <c r="AZ35" s="5"/>
      <c r="BB35" s="31"/>
      <c r="BD35" s="23">
        <f t="shared" si="47"/>
        <v>24</v>
      </c>
      <c r="BE35" s="23">
        <f t="shared" si="46"/>
        <v>44.49224766923059</v>
      </c>
      <c r="BF35" s="23">
        <f t="shared" si="41"/>
        <v>121.22912131300605</v>
      </c>
      <c r="BG35" s="23">
        <f t="shared" si="37"/>
        <v>472.0941955474294</v>
      </c>
      <c r="BH35" s="23">
        <f t="shared" si="35"/>
        <v>48974.479497367916</v>
      </c>
      <c r="BI35" s="23">
        <v>24</v>
      </c>
      <c r="BJ35" s="24">
        <f t="shared" si="39"/>
        <v>0.020460924115776404</v>
      </c>
      <c r="BK35" s="24">
        <f t="shared" si="38"/>
        <v>0.0041499776929806425</v>
      </c>
      <c r="BL35" s="24"/>
      <c r="BM35" s="24"/>
      <c r="BO35" s="1">
        <f t="shared" si="32"/>
        <v>0.44951186782810165</v>
      </c>
      <c r="BP35" s="26">
        <f t="shared" si="49"/>
        <v>0.0019982087690722217</v>
      </c>
      <c r="BQ35" s="26">
        <f t="shared" si="49"/>
        <v>0.0008710044656822946</v>
      </c>
      <c r="BR35" s="26">
        <f t="shared" si="49"/>
        <v>0.00029264855277530254</v>
      </c>
      <c r="BS35" s="26"/>
      <c r="CA35" s="1">
        <f t="shared" si="48"/>
        <v>24</v>
      </c>
      <c r="CB35" s="23">
        <f t="shared" si="42"/>
        <v>44.49224766923059</v>
      </c>
      <c r="CC35" s="23">
        <f t="shared" si="43"/>
        <v>121.22912131300605</v>
      </c>
      <c r="CD35" s="23">
        <f t="shared" si="44"/>
        <v>472.0941955474294</v>
      </c>
      <c r="CE35" s="23">
        <f t="shared" si="45"/>
        <v>48974.479497367916</v>
      </c>
    </row>
    <row r="36" spans="9:83" ht="15">
      <c r="I36" s="1" t="s">
        <v>15</v>
      </c>
      <c r="J36" s="5" t="s">
        <v>23</v>
      </c>
      <c r="K36" s="32" t="s">
        <v>24</v>
      </c>
      <c r="M36" s="5" t="s">
        <v>25</v>
      </c>
      <c r="N36" s="5" t="s">
        <v>26</v>
      </c>
      <c r="O36" s="5" t="s">
        <v>27</v>
      </c>
      <c r="P36" s="1" t="s">
        <v>28</v>
      </c>
      <c r="R36" s="1" t="s">
        <v>29</v>
      </c>
      <c r="S36" s="55" t="s">
        <v>151</v>
      </c>
      <c r="T36" s="1" t="s">
        <v>23</v>
      </c>
      <c r="U36" s="1" t="s">
        <v>31</v>
      </c>
      <c r="V36" s="5"/>
      <c r="W36" s="1" t="s">
        <v>32</v>
      </c>
      <c r="X36" s="1" t="s">
        <v>32</v>
      </c>
      <c r="Y36" s="1" t="s">
        <v>32</v>
      </c>
      <c r="Z36" s="1" t="s">
        <v>33</v>
      </c>
      <c r="AA36" s="1" t="s">
        <v>34</v>
      </c>
      <c r="AB36" s="1" t="s">
        <v>34</v>
      </c>
      <c r="AC36" s="1" t="s">
        <v>35</v>
      </c>
      <c r="AD36" s="1" t="s">
        <v>14</v>
      </c>
      <c r="AE36" s="1" t="s">
        <v>36</v>
      </c>
      <c r="AF36" s="1" t="s">
        <v>37</v>
      </c>
      <c r="AG36" s="1" t="s">
        <v>38</v>
      </c>
      <c r="AH36" s="1" t="s">
        <v>39</v>
      </c>
      <c r="AI36" s="1" t="s">
        <v>40</v>
      </c>
      <c r="AJ36" s="1" t="s">
        <v>41</v>
      </c>
      <c r="AK36" s="1" t="s">
        <v>17</v>
      </c>
      <c r="AL36" s="1" t="s">
        <v>42</v>
      </c>
      <c r="AM36" s="1" t="s">
        <v>43</v>
      </c>
      <c r="AN36" s="1" t="s">
        <v>44</v>
      </c>
      <c r="AO36" s="22" t="s">
        <v>45</v>
      </c>
      <c r="AP36" s="22" t="s">
        <v>46</v>
      </c>
      <c r="AQ36" s="1" t="s">
        <v>47</v>
      </c>
      <c r="AR36" s="1" t="s">
        <v>47</v>
      </c>
      <c r="AV36" s="1" t="s">
        <v>10</v>
      </c>
      <c r="AY36" s="5"/>
      <c r="AZ36" s="5"/>
      <c r="BB36" s="31"/>
      <c r="BD36" s="23">
        <f t="shared" si="47"/>
        <v>22</v>
      </c>
      <c r="BE36" s="23">
        <f t="shared" si="46"/>
        <v>53.85337356680142</v>
      </c>
      <c r="BF36" s="23">
        <f t="shared" si="41"/>
        <v>172.19297006115593</v>
      </c>
      <c r="BG36" s="23">
        <f t="shared" si="37"/>
        <v>864.2053850921321</v>
      </c>
      <c r="BH36" s="23">
        <f t="shared" si="35"/>
        <v>142820.4107930285</v>
      </c>
      <c r="BI36" s="23">
        <v>22</v>
      </c>
      <c r="BJ36" s="24">
        <f t="shared" si="39"/>
        <v>0.010757278829622909</v>
      </c>
      <c r="BK36" s="24">
        <f t="shared" si="38"/>
        <v>0.0015843938949853227</v>
      </c>
      <c r="BL36" s="24"/>
      <c r="BM36" s="24"/>
      <c r="BO36" s="1">
        <f t="shared" si="32"/>
        <v>0.4120525455090932</v>
      </c>
      <c r="BP36" s="26">
        <f>BP$20*$BO36^(3+2*BP$15)</f>
        <v>0.0007156358477758807</v>
      </c>
      <c r="BQ36" s="26">
        <f>BQ$20*$BO36^(3+2*BQ$15)</f>
        <v>0.0003083506243525358</v>
      </c>
      <c r="BR36" s="26"/>
      <c r="BS36" s="26"/>
      <c r="CA36" s="1">
        <f t="shared" si="48"/>
        <v>22</v>
      </c>
      <c r="CB36" s="23">
        <f t="shared" si="42"/>
        <v>53.85337356680142</v>
      </c>
      <c r="CC36" s="23">
        <f t="shared" si="43"/>
        <v>172.19297006115593</v>
      </c>
      <c r="CD36" s="23">
        <f t="shared" si="44"/>
        <v>864.2053850921321</v>
      </c>
      <c r="CE36" s="23">
        <f t="shared" si="45"/>
        <v>142820.4107930285</v>
      </c>
    </row>
    <row r="37" spans="1:83" ht="15">
      <c r="A37" s="50" t="s">
        <v>133</v>
      </c>
      <c r="C37" s="6"/>
      <c r="I37" s="1" t="s">
        <v>53</v>
      </c>
      <c r="J37" s="1" t="s">
        <v>54</v>
      </c>
      <c r="K37" s="33" t="s">
        <v>98</v>
      </c>
      <c r="M37" s="1" t="s">
        <v>56</v>
      </c>
      <c r="N37" s="1" t="s">
        <v>57</v>
      </c>
      <c r="O37" s="1" t="s">
        <v>14</v>
      </c>
      <c r="P37" s="1" t="s">
        <v>58</v>
      </c>
      <c r="Q37" s="1" t="s">
        <v>59</v>
      </c>
      <c r="S37" s="1">
        <v>33</v>
      </c>
      <c r="T37" s="1" t="s">
        <v>60</v>
      </c>
      <c r="U37" s="1" t="s">
        <v>15</v>
      </c>
      <c r="V37" s="5"/>
      <c r="W37" s="1" t="s">
        <v>61</v>
      </c>
      <c r="X37" s="1" t="s">
        <v>61</v>
      </c>
      <c r="Y37" s="1" t="s">
        <v>17</v>
      </c>
      <c r="Z37" s="1" t="s">
        <v>17</v>
      </c>
      <c r="AA37" s="1" t="s">
        <v>62</v>
      </c>
      <c r="AB37" s="1" t="s">
        <v>62</v>
      </c>
      <c r="AC37" s="1" t="s">
        <v>62</v>
      </c>
      <c r="AD37" s="1" t="s">
        <v>36</v>
      </c>
      <c r="AE37" s="1" t="s">
        <v>14</v>
      </c>
      <c r="AH37" s="1" t="s">
        <v>63</v>
      </c>
      <c r="AI37" s="1" t="s">
        <v>64</v>
      </c>
      <c r="AK37" s="1" t="s">
        <v>38</v>
      </c>
      <c r="AM37" s="1" t="s">
        <v>44</v>
      </c>
      <c r="AN37" s="1" t="s">
        <v>65</v>
      </c>
      <c r="AQ37" s="1" t="s">
        <v>66</v>
      </c>
      <c r="AR37" s="1" t="s">
        <v>67</v>
      </c>
      <c r="AV37" s="1" t="s">
        <v>99</v>
      </c>
      <c r="AX37" s="5">
        <f>$F$30</f>
        <v>0.05</v>
      </c>
      <c r="AY37" s="5">
        <f>$F$31</f>
        <v>0.15038994565217392</v>
      </c>
      <c r="AZ37" s="5">
        <f>$F$32</f>
        <v>0.2911769230769231</v>
      </c>
      <c r="BA37" s="5">
        <f>$F$33</f>
        <v>0.12736428571428574</v>
      </c>
      <c r="BB37" s="31"/>
      <c r="BD37" s="23">
        <f t="shared" si="47"/>
        <v>20</v>
      </c>
      <c r="BE37" s="23">
        <f t="shared" si="46"/>
        <v>66.3820840647013</v>
      </c>
      <c r="BF37" s="23">
        <f t="shared" si="41"/>
        <v>252.90650265440664</v>
      </c>
      <c r="BG37" s="23">
        <f t="shared" si="37"/>
        <v>1675.9070013315416</v>
      </c>
      <c r="BH37" s="23">
        <f t="shared" si="35"/>
        <v>461257.533669047</v>
      </c>
      <c r="BI37" s="23">
        <v>20</v>
      </c>
      <c r="BJ37" s="24">
        <f t="shared" si="39"/>
        <v>0.005319225878245179</v>
      </c>
      <c r="BK37" s="24"/>
      <c r="BL37" s="24"/>
      <c r="BM37" s="24"/>
      <c r="BO37" s="1">
        <f t="shared" si="32"/>
        <v>0.3745932231900847</v>
      </c>
      <c r="BP37" s="24"/>
      <c r="CA37" s="1">
        <f t="shared" si="48"/>
        <v>20</v>
      </c>
      <c r="CB37" s="23">
        <f t="shared" si="42"/>
        <v>66.3820840647013</v>
      </c>
      <c r="CC37" s="23">
        <f t="shared" si="43"/>
        <v>252.90650265440664</v>
      </c>
      <c r="CD37" s="23">
        <f t="shared" si="44"/>
        <v>1675.9070013315416</v>
      </c>
      <c r="CE37" s="23">
        <f t="shared" si="45"/>
        <v>461257.533669047</v>
      </c>
    </row>
    <row r="38" spans="1:83" ht="17.25">
      <c r="A38" s="17" t="s">
        <v>137</v>
      </c>
      <c r="B38" s="12" t="s">
        <v>136</v>
      </c>
      <c r="C38" s="6"/>
      <c r="D38" s="17" t="s">
        <v>107</v>
      </c>
      <c r="E38" s="16"/>
      <c r="F38" s="16"/>
      <c r="G38" s="16"/>
      <c r="H38" s="17" t="s">
        <v>10</v>
      </c>
      <c r="I38" s="34"/>
      <c r="J38" s="16"/>
      <c r="K38" s="35" t="s">
        <v>55</v>
      </c>
      <c r="L38" s="5"/>
      <c r="M38" s="1" t="s">
        <v>52</v>
      </c>
      <c r="N38" s="1" t="s">
        <v>52</v>
      </c>
      <c r="O38" s="1" t="s">
        <v>52</v>
      </c>
      <c r="P38" s="1" t="s">
        <v>52</v>
      </c>
      <c r="Q38" s="1" t="s">
        <v>65</v>
      </c>
      <c r="R38" s="1" t="s">
        <v>72</v>
      </c>
      <c r="S38" s="1" t="s">
        <v>52</v>
      </c>
      <c r="U38" s="1" t="s">
        <v>72</v>
      </c>
      <c r="V38" s="5"/>
      <c r="W38" s="1" t="s">
        <v>73</v>
      </c>
      <c r="X38" s="1" t="s">
        <v>74</v>
      </c>
      <c r="AQ38" s="1" t="s">
        <v>75</v>
      </c>
      <c r="AR38" s="1" t="s">
        <v>76</v>
      </c>
      <c r="AV38" s="1" t="s">
        <v>100</v>
      </c>
      <c r="AX38" s="5">
        <f>$G30</f>
        <v>0.05</v>
      </c>
      <c r="AY38" s="5">
        <f>$G31</f>
        <v>0.1801073369565219</v>
      </c>
      <c r="AZ38" s="5">
        <f>$G32</f>
        <v>0.3157692307692308</v>
      </c>
      <c r="BA38" s="5">
        <f>$G33</f>
        <v>0.545557142857143</v>
      </c>
      <c r="BB38" s="31"/>
      <c r="BD38" s="23">
        <v>19</v>
      </c>
      <c r="BE38" s="23">
        <f t="shared" si="46"/>
        <v>74.29119726409539</v>
      </c>
      <c r="BF38" s="23">
        <f t="shared" si="41"/>
        <v>311.0319022116163</v>
      </c>
      <c r="BG38" s="23">
        <f t="shared" si="37"/>
        <v>2393.569195808273</v>
      </c>
      <c r="BH38" s="23">
        <f t="shared" si="35"/>
        <v>866873.237416852</v>
      </c>
      <c r="BI38" s="23">
        <v>18</v>
      </c>
      <c r="BJ38" s="24"/>
      <c r="BK38" s="24"/>
      <c r="BL38" s="24"/>
      <c r="BM38" s="24"/>
      <c r="BO38" s="1">
        <f t="shared" si="32"/>
        <v>0.3371339008710762</v>
      </c>
      <c r="BP38" s="24"/>
      <c r="CA38" s="1">
        <v>19</v>
      </c>
      <c r="CB38" s="23">
        <f t="shared" si="42"/>
        <v>74.29119726409539</v>
      </c>
      <c r="CC38" s="23">
        <f t="shared" si="43"/>
        <v>311.0319022116163</v>
      </c>
      <c r="CD38" s="23">
        <f t="shared" si="44"/>
        <v>2393.569195808273</v>
      </c>
      <c r="CE38" s="23">
        <f t="shared" si="45"/>
        <v>866873.237416852</v>
      </c>
    </row>
    <row r="39" spans="1:83" ht="17.25">
      <c r="A39" s="17" t="s">
        <v>101</v>
      </c>
      <c r="B39" s="12" t="s">
        <v>117</v>
      </c>
      <c r="C39" s="6"/>
      <c r="D39" s="47" t="s">
        <v>50</v>
      </c>
      <c r="F39" s="36" t="s">
        <v>102</v>
      </c>
      <c r="G39" s="36" t="s">
        <v>68</v>
      </c>
      <c r="H39" s="34" t="s">
        <v>103</v>
      </c>
      <c r="I39" s="37" t="s">
        <v>104</v>
      </c>
      <c r="J39" s="34" t="s">
        <v>105</v>
      </c>
      <c r="K39" s="38" t="s">
        <v>24</v>
      </c>
      <c r="M39" s="18"/>
      <c r="N39" s="18"/>
      <c r="O39" s="19" t="s">
        <v>11</v>
      </c>
      <c r="P39" s="18"/>
      <c r="Q39" s="18"/>
      <c r="R39" s="18"/>
      <c r="S39" s="18"/>
      <c r="T39" s="18"/>
      <c r="U39" s="18"/>
      <c r="W39" s="14"/>
      <c r="X39" s="14"/>
      <c r="Y39" s="13" t="s">
        <v>12</v>
      </c>
      <c r="Z39" s="14"/>
      <c r="AA39" s="14"/>
      <c r="AB39" s="14"/>
      <c r="AC39" s="14"/>
      <c r="AD39" s="13" t="s">
        <v>12</v>
      </c>
      <c r="AE39" s="14"/>
      <c r="AF39" s="14"/>
      <c r="AG39" s="14"/>
      <c r="AH39" s="13" t="s">
        <v>12</v>
      </c>
      <c r="AI39" s="14"/>
      <c r="AJ39" s="14"/>
      <c r="AK39" s="14"/>
      <c r="AL39" s="14"/>
      <c r="AM39" s="13" t="s">
        <v>12</v>
      </c>
      <c r="AN39" s="14"/>
      <c r="AO39" s="14"/>
      <c r="AP39" s="14"/>
      <c r="AQ39" s="13" t="s">
        <v>12</v>
      </c>
      <c r="AR39" s="14"/>
      <c r="AS39" s="14"/>
      <c r="AT39" s="6"/>
      <c r="AV39" s="1" t="s">
        <v>106</v>
      </c>
      <c r="AX39" s="5">
        <f>$H30</f>
        <v>1</v>
      </c>
      <c r="AY39" s="5">
        <f>$H31</f>
        <v>3.045249239130434</v>
      </c>
      <c r="AZ39" s="5">
        <f>$H32</f>
        <v>3.5097987692307693</v>
      </c>
      <c r="BA39" s="5">
        <f>$H33</f>
        <v>2.88</v>
      </c>
      <c r="BC39" s="31"/>
      <c r="BD39" s="23">
        <v>18</v>
      </c>
      <c r="BE39" s="23">
        <f t="shared" si="46"/>
        <v>83.65031844968567</v>
      </c>
      <c r="BF39" s="23">
        <f t="shared" si="41"/>
        <v>386.81977319907287</v>
      </c>
      <c r="BG39" s="23">
        <f t="shared" si="37"/>
        <v>3485.0850947188364</v>
      </c>
      <c r="BH39" s="23">
        <f t="shared" si="35"/>
        <v>1685723.0161140945</v>
      </c>
      <c r="BI39" s="23">
        <v>15</v>
      </c>
      <c r="BJ39" s="24"/>
      <c r="BK39" s="24"/>
      <c r="BL39" s="24"/>
      <c r="BM39" s="24"/>
      <c r="CA39" s="1">
        <v>18</v>
      </c>
      <c r="CB39" s="23">
        <f t="shared" si="42"/>
        <v>83.65031844968567</v>
      </c>
      <c r="CC39" s="23">
        <f t="shared" si="43"/>
        <v>386.81977319907287</v>
      </c>
      <c r="CD39" s="23">
        <f t="shared" si="44"/>
        <v>3485.0850947188364</v>
      </c>
      <c r="CE39" s="23">
        <f t="shared" si="45"/>
        <v>1685723.0161140945</v>
      </c>
    </row>
    <row r="40" spans="1:83" ht="17.25">
      <c r="A40" s="1">
        <v>1.4</v>
      </c>
      <c r="B40" s="5">
        <f>A40/U40</f>
        <v>0.9814673586626889</v>
      </c>
      <c r="D40" s="54" t="s">
        <v>138</v>
      </c>
      <c r="E40" s="6"/>
      <c r="F40" s="5">
        <v>0.88</v>
      </c>
      <c r="G40" s="5">
        <v>0.05</v>
      </c>
      <c r="H40" s="5">
        <v>2.5</v>
      </c>
      <c r="I40" s="5">
        <v>1</v>
      </c>
      <c r="J40" s="5">
        <v>0</v>
      </c>
      <c r="K40" s="43"/>
      <c r="L40" s="43"/>
      <c r="M40" s="23">
        <f aca="true" t="shared" si="50" ref="M40:M51">X40*100</f>
        <v>5.022058</v>
      </c>
      <c r="N40" s="23">
        <f aca="true" t="shared" si="51" ref="N40:N51">AJ40*100</f>
        <v>10.282792364858702</v>
      </c>
      <c r="O40" s="23">
        <f aca="true" t="shared" si="52" ref="O40:O51">AH40*100</f>
        <v>46.17224076485871</v>
      </c>
      <c r="P40" s="23">
        <f aca="true" t="shared" si="53" ref="P40:P51">(N40-M40)*(1-T40)</f>
        <v>5.260734364858702</v>
      </c>
      <c r="Q40" s="26">
        <f aca="true" t="shared" si="54" ref="Q40:Q51">AN40</f>
        <v>108.14782785074016</v>
      </c>
      <c r="R40" s="5">
        <f aca="true" t="shared" si="55" ref="R40:R51">AG40</f>
        <v>1.4264356197312442</v>
      </c>
      <c r="S40" s="23">
        <f aca="true" t="shared" si="56" ref="S40:S51">N40-(S$37-33)*(O40-N40)/(33-AR40)</f>
        <v>10.282792364858702</v>
      </c>
      <c r="T40" s="5">
        <f aca="true" t="shared" si="57" ref="T40:T51">((R40/2.65)*J40)/(1-J40*(1-R40/2.65))</f>
        <v>0</v>
      </c>
      <c r="U40" s="5">
        <f aca="true" t="shared" si="58" ref="U40:U51">T40*2.65+(1-T40)*R40</f>
        <v>1.4264356197312442</v>
      </c>
      <c r="V40" s="5"/>
      <c r="W40" s="25">
        <f aca="true" t="shared" si="59" ref="W40:W51">-0.024*F40+0.487*G40+0.006*H40+0.005*F40*H40-0.013*G40*H40+0.068*F40*G40+0.031</f>
        <v>0.061597</v>
      </c>
      <c r="X40" s="25">
        <f aca="true" t="shared" si="60" ref="X40:X51">W40+0.14*W40-0.02</f>
        <v>0.05022058</v>
      </c>
      <c r="Y40" s="5">
        <f aca="true" t="shared" si="61" ref="Y40:Y51">-0.251*F40+0.195*G40+0.011*H40+0.006*F40*H40-0.027*G40*H40+0.452*F40*G40+0.299</f>
        <v>0.14508300000000002</v>
      </c>
      <c r="Z40" s="5">
        <f aca="true" t="shared" si="62" ref="Z40:Z51">Y40+(1.283*Y40*Y40-0.374*Y40-0.015)</f>
        <v>0.10282792364858702</v>
      </c>
      <c r="AA40" s="5">
        <f aca="true" t="shared" si="63" ref="AA40:AA51">0.278*F40+0.034*G40+0.022*H40-0.018*F40*H40-0.027*G40*H40-0.584*F40*G40+0.078</f>
        <v>0.3106690000000001</v>
      </c>
      <c r="AB40" s="5">
        <f aca="true" t="shared" si="64" ref="AB40:AB51">AA40+(0.636*AA40-0.107)</f>
        <v>0.40125448400000013</v>
      </c>
      <c r="AC40" s="5">
        <f aca="true" t="shared" si="65" ref="AC40:AC51">AB40+Z40</f>
        <v>0.5040824076485871</v>
      </c>
      <c r="AD40" s="5">
        <f aca="true" t="shared" si="66" ref="AD40:AD51">-0.097*F40+0.043</f>
        <v>-0.04236000000000001</v>
      </c>
      <c r="AE40" s="5">
        <f aca="true" t="shared" si="67" ref="AE40:AE51">AC40+AD40</f>
        <v>0.46172240764858713</v>
      </c>
      <c r="AF40" s="5">
        <f aca="true" t="shared" si="68" ref="AF40:AF51">(1-AE40)*2.65</f>
        <v>1.4264356197312442</v>
      </c>
      <c r="AG40" s="25">
        <f aca="true" t="shared" si="69" ref="AG40:AG51">AF40*(I40)</f>
        <v>1.4264356197312442</v>
      </c>
      <c r="AH40" s="25">
        <f aca="true" t="shared" si="70" ref="AH40:AH51">1-(AG40/2.65)</f>
        <v>0.4617224076485871</v>
      </c>
      <c r="AI40" s="25">
        <f aca="true" t="shared" si="71" ref="AI40:AI51">(1-AG40/2.65)-(1-AF40/2.65)</f>
        <v>0</v>
      </c>
      <c r="AJ40" s="25">
        <f aca="true" t="shared" si="72" ref="AJ40:AJ51">Z40+0.2*AI40</f>
        <v>0.10282792364858702</v>
      </c>
      <c r="AK40" s="25">
        <f aca="true" t="shared" si="73" ref="AK40:AK51">AH40-AJ40</f>
        <v>0.35889448400000007</v>
      </c>
      <c r="AL40" s="25">
        <f aca="true" t="shared" si="74" ref="AL40:AL51">(LN(AJ40)-LN(X40))/(LN(1500)-LN(33))</f>
        <v>0.18776158355467926</v>
      </c>
      <c r="AM40" s="25">
        <f aca="true" t="shared" si="75" ref="AM40:AM51">(1-J40)/(1-J40*(1-1.5*(R40/2.65)))</f>
        <v>1</v>
      </c>
      <c r="AN40" s="26">
        <f aca="true" t="shared" si="76" ref="AN40:AN51">1930*(AK40)^(3-AL40)*AM40</f>
        <v>108.14782785074016</v>
      </c>
      <c r="AO40" s="5">
        <f aca="true" t="shared" si="77" ref="AO40:AO51">(LN(1500)-LN(33))/(LN(AJ40)-LN(X40))</f>
        <v>5.325903100453899</v>
      </c>
      <c r="AP40" s="25">
        <f aca="true" t="shared" si="78" ref="AP40:AP51">EXP(LN(33)+(AO40*LN(AJ40)))</f>
        <v>0.00018076452552206025</v>
      </c>
      <c r="AQ40" s="26">
        <f aca="true" t="shared" si="79" ref="AQ40:AQ51">-21.674*$F40-27.932*$G40-81.975*$AK40+71.121*$F40*$AK40+8.294*$G40*$AK40+14.05*$F40*$G40+27.161</f>
        <v>0.49988066159112066</v>
      </c>
      <c r="AR40" s="26">
        <f aca="true" t="shared" si="80" ref="AR40:AR51">AQ40+(0.02*AQ40^2-0.113*AQ40-0.7)</f>
        <v>-0.2516082396520204</v>
      </c>
      <c r="AS40" s="25"/>
      <c r="AV40" s="1" t="s">
        <v>104</v>
      </c>
      <c r="AX40" s="5">
        <f>$I30</f>
        <v>1.2</v>
      </c>
      <c r="AY40" s="5">
        <f>$I31</f>
        <v>1</v>
      </c>
      <c r="AZ40" s="5">
        <f>$I32</f>
        <v>1</v>
      </c>
      <c r="BA40" s="5">
        <f>$I33</f>
        <v>1</v>
      </c>
      <c r="BB40" s="31"/>
      <c r="BD40" s="23">
        <v>17</v>
      </c>
      <c r="BE40" s="23">
        <f t="shared" si="46"/>
        <v>94.82961454745565</v>
      </c>
      <c r="BF40" s="23">
        <f t="shared" si="41"/>
        <v>487.1098421275654</v>
      </c>
      <c r="BG40" s="23">
        <f t="shared" si="37"/>
        <v>5184.532223831936</v>
      </c>
      <c r="BH40" s="23">
        <f t="shared" si="35"/>
        <v>3405102.5029573822</v>
      </c>
      <c r="BI40" s="23">
        <v>13</v>
      </c>
      <c r="BJ40" s="24"/>
      <c r="BK40" s="24"/>
      <c r="BL40" s="24"/>
      <c r="BM40" s="24"/>
      <c r="CA40" s="1">
        <v>17</v>
      </c>
      <c r="CB40" s="23">
        <f t="shared" si="42"/>
        <v>94.82961454745565</v>
      </c>
      <c r="CC40" s="23">
        <f t="shared" si="43"/>
        <v>487.1098421275654</v>
      </c>
      <c r="CD40" s="23">
        <f t="shared" si="44"/>
        <v>5184.532223831936</v>
      </c>
      <c r="CE40" s="23">
        <f t="shared" si="45"/>
        <v>3405102.5029573822</v>
      </c>
    </row>
    <row r="41" spans="4:83" ht="15">
      <c r="D41" s="54" t="s">
        <v>139</v>
      </c>
      <c r="E41" s="6"/>
      <c r="F41" s="5">
        <v>0.8</v>
      </c>
      <c r="G41" s="5">
        <v>0.05</v>
      </c>
      <c r="H41" s="5">
        <v>2.5</v>
      </c>
      <c r="I41" s="5">
        <v>1</v>
      </c>
      <c r="J41" s="5">
        <v>0</v>
      </c>
      <c r="M41" s="23">
        <f t="shared" si="50"/>
        <v>5.095929999999998</v>
      </c>
      <c r="N41" s="23">
        <f t="shared" si="51"/>
        <v>12.024454508407503</v>
      </c>
      <c r="O41" s="23">
        <f t="shared" si="52"/>
        <v>46.02256850840752</v>
      </c>
      <c r="P41" s="23">
        <f t="shared" si="53"/>
        <v>6.928524508407505</v>
      </c>
      <c r="Q41" s="26">
        <f t="shared" si="54"/>
        <v>96.67462996247916</v>
      </c>
      <c r="R41" s="5">
        <f t="shared" si="55"/>
        <v>1.4304019345272008</v>
      </c>
      <c r="S41" s="23">
        <f t="shared" si="56"/>
        <v>12.024454508407503</v>
      </c>
      <c r="T41" s="5">
        <f t="shared" si="57"/>
        <v>0</v>
      </c>
      <c r="U41" s="5">
        <f t="shared" si="58"/>
        <v>1.4304019345272008</v>
      </c>
      <c r="V41" s="5"/>
      <c r="W41" s="25">
        <f t="shared" si="59"/>
        <v>0.062244999999999995</v>
      </c>
      <c r="X41" s="25">
        <f t="shared" si="60"/>
        <v>0.050959299999999985</v>
      </c>
      <c r="Y41" s="5">
        <f t="shared" si="61"/>
        <v>0.16215500000000002</v>
      </c>
      <c r="Z41" s="5">
        <f t="shared" si="62"/>
        <v>0.12024454508407503</v>
      </c>
      <c r="AA41" s="5">
        <f t="shared" si="63"/>
        <v>0.29436500000000004</v>
      </c>
      <c r="AB41" s="5">
        <f t="shared" si="64"/>
        <v>0.3745811400000001</v>
      </c>
      <c r="AC41" s="5">
        <f t="shared" si="65"/>
        <v>0.4948256850840751</v>
      </c>
      <c r="AD41" s="5">
        <f t="shared" si="66"/>
        <v>-0.034600000000000006</v>
      </c>
      <c r="AE41" s="5">
        <f t="shared" si="67"/>
        <v>0.4602256850840751</v>
      </c>
      <c r="AF41" s="5">
        <f t="shared" si="68"/>
        <v>1.4304019345272008</v>
      </c>
      <c r="AG41" s="25">
        <f t="shared" si="69"/>
        <v>1.4304019345272008</v>
      </c>
      <c r="AH41" s="25">
        <f t="shared" si="70"/>
        <v>0.46022568508407513</v>
      </c>
      <c r="AI41" s="25">
        <f t="shared" si="71"/>
        <v>0</v>
      </c>
      <c r="AJ41" s="25">
        <f t="shared" si="72"/>
        <v>0.12024454508407503</v>
      </c>
      <c r="AK41" s="25">
        <f t="shared" si="73"/>
        <v>0.3399811400000001</v>
      </c>
      <c r="AL41" s="25">
        <f t="shared" si="74"/>
        <v>0.2249318482022793</v>
      </c>
      <c r="AM41" s="25">
        <f t="shared" si="75"/>
        <v>1</v>
      </c>
      <c r="AN41" s="26">
        <f t="shared" si="76"/>
        <v>96.67462996247916</v>
      </c>
      <c r="AO41" s="5">
        <f t="shared" si="77"/>
        <v>4.445791060680338</v>
      </c>
      <c r="AP41" s="25">
        <f t="shared" si="78"/>
        <v>0.0026833470524757087</v>
      </c>
      <c r="AQ41" s="26">
        <f t="shared" si="79"/>
        <v>0.6020751536100022</v>
      </c>
      <c r="AR41" s="26">
        <f t="shared" si="80"/>
        <v>-0.1587094489360379</v>
      </c>
      <c r="AV41" s="1" t="s">
        <v>105</v>
      </c>
      <c r="AX41" s="5">
        <f>$J30</f>
        <v>0</v>
      </c>
      <c r="AY41" s="5">
        <f>$J31</f>
        <v>0</v>
      </c>
      <c r="AZ41" s="5">
        <f>$J32</f>
        <v>0</v>
      </c>
      <c r="BA41" s="5">
        <f>$J33</f>
        <v>0</v>
      </c>
      <c r="BB41" s="31"/>
      <c r="BD41" s="23">
        <v>16</v>
      </c>
      <c r="BE41" s="23">
        <f t="shared" si="46"/>
        <v>108.32381232987588</v>
      </c>
      <c r="BF41" s="23">
        <f t="shared" si="41"/>
        <v>622.0374417807385</v>
      </c>
      <c r="BG41" s="23">
        <f t="shared" si="37"/>
        <v>7900.713366257447</v>
      </c>
      <c r="BH41" s="23">
        <f t="shared" si="35"/>
        <v>7177792.053160637</v>
      </c>
      <c r="BI41" s="23">
        <v>12</v>
      </c>
      <c r="BJ41" s="24"/>
      <c r="BK41" s="24"/>
      <c r="BL41" s="24"/>
      <c r="BM41" s="24"/>
      <c r="CA41" s="1">
        <v>16</v>
      </c>
      <c r="CB41" s="23">
        <f t="shared" si="42"/>
        <v>108.32381232987588</v>
      </c>
      <c r="CC41" s="23">
        <f t="shared" si="43"/>
        <v>622.0374417807385</v>
      </c>
      <c r="CD41" s="23">
        <f t="shared" si="44"/>
        <v>7900.713366257447</v>
      </c>
      <c r="CE41" s="23">
        <f t="shared" si="45"/>
        <v>7177792.053160637</v>
      </c>
    </row>
    <row r="42" spans="4:83" ht="15">
      <c r="D42" s="54" t="s">
        <v>140</v>
      </c>
      <c r="E42" s="6"/>
      <c r="F42" s="1">
        <v>0.65</v>
      </c>
      <c r="G42" s="1">
        <v>0.1</v>
      </c>
      <c r="H42" s="5">
        <v>2.5</v>
      </c>
      <c r="I42" s="5">
        <v>1</v>
      </c>
      <c r="J42" s="5">
        <v>0</v>
      </c>
      <c r="K42" s="23"/>
      <c r="L42" s="23"/>
      <c r="M42" s="23">
        <f t="shared" si="50"/>
        <v>8.07703</v>
      </c>
      <c r="N42" s="23">
        <f t="shared" si="51"/>
        <v>17.916761157069995</v>
      </c>
      <c r="O42" s="23">
        <f t="shared" si="52"/>
        <v>44.98946515706999</v>
      </c>
      <c r="P42" s="23">
        <f t="shared" si="53"/>
        <v>9.839731157069995</v>
      </c>
      <c r="Q42" s="26">
        <f t="shared" si="54"/>
        <v>50.30455513324733</v>
      </c>
      <c r="R42" s="5">
        <f t="shared" si="55"/>
        <v>1.457779173337645</v>
      </c>
      <c r="S42" s="23">
        <f t="shared" si="56"/>
        <v>17.916761157069995</v>
      </c>
      <c r="T42" s="5">
        <f t="shared" si="57"/>
        <v>0</v>
      </c>
      <c r="U42" s="5">
        <f t="shared" si="58"/>
        <v>1.457779173337645</v>
      </c>
      <c r="V42" s="5"/>
      <c r="W42" s="25">
        <f t="shared" si="59"/>
        <v>0.088395</v>
      </c>
      <c r="X42" s="25">
        <f t="shared" si="60"/>
        <v>0.0807703</v>
      </c>
      <c r="Y42" s="5">
        <f t="shared" si="61"/>
        <v>0.21522999999999998</v>
      </c>
      <c r="Z42" s="5">
        <f t="shared" si="62"/>
        <v>0.17916761157069996</v>
      </c>
      <c r="AA42" s="5">
        <f t="shared" si="63"/>
        <v>0.24314000000000002</v>
      </c>
      <c r="AB42" s="5">
        <f t="shared" si="64"/>
        <v>0.29077704000000004</v>
      </c>
      <c r="AC42" s="5">
        <f t="shared" si="65"/>
        <v>0.4699446515707</v>
      </c>
      <c r="AD42" s="5">
        <f t="shared" si="66"/>
        <v>-0.020050000000000012</v>
      </c>
      <c r="AE42" s="5">
        <f t="shared" si="67"/>
        <v>0.44989465157069997</v>
      </c>
      <c r="AF42" s="5">
        <f t="shared" si="68"/>
        <v>1.457779173337645</v>
      </c>
      <c r="AG42" s="25">
        <f t="shared" si="69"/>
        <v>1.457779173337645</v>
      </c>
      <c r="AH42" s="25">
        <f t="shared" si="70"/>
        <v>0.44989465157069997</v>
      </c>
      <c r="AI42" s="25">
        <f t="shared" si="71"/>
        <v>0</v>
      </c>
      <c r="AJ42" s="25">
        <f t="shared" si="72"/>
        <v>0.17916761157069996</v>
      </c>
      <c r="AK42" s="25">
        <f t="shared" si="73"/>
        <v>0.27072704000000003</v>
      </c>
      <c r="AL42" s="25">
        <f t="shared" si="74"/>
        <v>0.20874308807210615</v>
      </c>
      <c r="AM42" s="25">
        <f t="shared" si="75"/>
        <v>1</v>
      </c>
      <c r="AN42" s="26">
        <f t="shared" si="76"/>
        <v>50.30455513324733</v>
      </c>
      <c r="AO42" s="5">
        <f t="shared" si="77"/>
        <v>4.790577782650077</v>
      </c>
      <c r="AP42" s="25">
        <f t="shared" si="78"/>
        <v>0.008733644530973864</v>
      </c>
      <c r="AQ42" s="26">
        <f t="shared" si="79"/>
        <v>1.7399874806720064</v>
      </c>
      <c r="AR42" s="26">
        <f t="shared" si="80"/>
        <v>0.903920024013976</v>
      </c>
      <c r="AX42" s="5"/>
      <c r="AY42" s="5"/>
      <c r="BA42" s="31"/>
      <c r="BD42" s="23">
        <v>15</v>
      </c>
      <c r="BE42" s="23">
        <f t="shared" si="46"/>
        <v>124.80561810785443</v>
      </c>
      <c r="BF42" s="23">
        <f t="shared" si="41"/>
        <v>806.9780176395027</v>
      </c>
      <c r="BG42" s="23">
        <f t="shared" si="37"/>
        <v>12371.849867170644</v>
      </c>
      <c r="BH42" s="23"/>
      <c r="BI42" s="23">
        <f>BI41-2</f>
        <v>10</v>
      </c>
      <c r="BJ42" s="24"/>
      <c r="BK42" s="24"/>
      <c r="BL42" s="24"/>
      <c r="BM42" s="24"/>
      <c r="CA42" s="1">
        <v>15</v>
      </c>
      <c r="CB42" s="23">
        <f t="shared" si="42"/>
        <v>124.80561810785443</v>
      </c>
      <c r="CC42" s="23">
        <f t="shared" si="43"/>
        <v>806.9780176395027</v>
      </c>
      <c r="CD42" s="23">
        <f t="shared" si="44"/>
        <v>12371.849867170644</v>
      </c>
      <c r="CE42" s="23">
        <f t="shared" si="45"/>
        <v>15876686.160671214</v>
      </c>
    </row>
    <row r="43" spans="4:83" ht="15">
      <c r="D43" s="54" t="s">
        <v>141</v>
      </c>
      <c r="F43" s="1">
        <v>0.4</v>
      </c>
      <c r="G43" s="1">
        <v>0.2</v>
      </c>
      <c r="H43" s="5">
        <v>2.5</v>
      </c>
      <c r="I43" s="5">
        <v>1</v>
      </c>
      <c r="J43" s="5">
        <v>0</v>
      </c>
      <c r="K43" s="23"/>
      <c r="L43" s="23"/>
      <c r="M43" s="23">
        <f t="shared" si="50"/>
        <v>13.702360000000002</v>
      </c>
      <c r="N43" s="23">
        <f t="shared" si="51"/>
        <v>27.961016494079992</v>
      </c>
      <c r="O43" s="23">
        <f t="shared" si="52"/>
        <v>45.947824494079995</v>
      </c>
      <c r="P43" s="23">
        <f t="shared" si="53"/>
        <v>14.25865649407999</v>
      </c>
      <c r="Q43" s="26">
        <f t="shared" si="54"/>
        <v>15.47565639941927</v>
      </c>
      <c r="R43" s="5">
        <f t="shared" si="55"/>
        <v>1.4323826509068802</v>
      </c>
      <c r="S43" s="23">
        <f t="shared" si="56"/>
        <v>27.961016494079992</v>
      </c>
      <c r="T43" s="5">
        <f t="shared" si="57"/>
        <v>0</v>
      </c>
      <c r="U43" s="5">
        <f t="shared" si="58"/>
        <v>1.4323826509068802</v>
      </c>
      <c r="V43" s="5"/>
      <c r="W43" s="25">
        <f t="shared" si="59"/>
        <v>0.13774</v>
      </c>
      <c r="X43" s="25">
        <f t="shared" si="60"/>
        <v>0.13702360000000002</v>
      </c>
      <c r="Y43" s="5">
        <f t="shared" si="61"/>
        <v>0.29375999999999997</v>
      </c>
      <c r="Z43" s="5">
        <f t="shared" si="62"/>
        <v>0.27961016494079993</v>
      </c>
      <c r="AA43" s="5">
        <f t="shared" si="63"/>
        <v>0.17278</v>
      </c>
      <c r="AB43" s="5">
        <f t="shared" si="64"/>
        <v>0.17566808</v>
      </c>
      <c r="AC43" s="5">
        <f t="shared" si="65"/>
        <v>0.45527824494079994</v>
      </c>
      <c r="AD43" s="5">
        <f t="shared" si="66"/>
        <v>0.004199999999999995</v>
      </c>
      <c r="AE43" s="5">
        <f t="shared" si="67"/>
        <v>0.4594782449407999</v>
      </c>
      <c r="AF43" s="5">
        <f t="shared" si="68"/>
        <v>1.4323826509068802</v>
      </c>
      <c r="AG43" s="25">
        <f t="shared" si="69"/>
        <v>1.4323826509068802</v>
      </c>
      <c r="AH43" s="25">
        <f t="shared" si="70"/>
        <v>0.4594782449407999</v>
      </c>
      <c r="AI43" s="25">
        <f t="shared" si="71"/>
        <v>0</v>
      </c>
      <c r="AJ43" s="25">
        <f t="shared" si="72"/>
        <v>0.27961016494079993</v>
      </c>
      <c r="AK43" s="25">
        <f t="shared" si="73"/>
        <v>0.17986807999999999</v>
      </c>
      <c r="AL43" s="25">
        <f t="shared" si="74"/>
        <v>0.1868736852404029</v>
      </c>
      <c r="AM43" s="25">
        <f t="shared" si="75"/>
        <v>1</v>
      </c>
      <c r="AN43" s="26">
        <f t="shared" si="76"/>
        <v>15.47565639941927</v>
      </c>
      <c r="AO43" s="5">
        <f t="shared" si="77"/>
        <v>5.351208217002592</v>
      </c>
      <c r="AP43" s="25">
        <f t="shared" si="78"/>
        <v>0.036049858856557426</v>
      </c>
      <c r="AQ43" s="26">
        <f t="shared" si="79"/>
        <v>4.699638400176003</v>
      </c>
      <c r="AR43" s="26">
        <f t="shared" si="80"/>
        <v>3.9103112828042916</v>
      </c>
      <c r="AW43" s="5"/>
      <c r="AX43" s="5"/>
      <c r="BB43" s="5"/>
      <c r="BC43" s="5"/>
      <c r="BD43" s="23">
        <v>14</v>
      </c>
      <c r="BE43" s="23">
        <f t="shared" si="46"/>
        <v>145.20770955171378</v>
      </c>
      <c r="BF43" s="23">
        <f t="shared" si="41"/>
        <v>1065.8819023297606</v>
      </c>
      <c r="BG43" s="23"/>
      <c r="BH43" s="23"/>
      <c r="BI43" s="23">
        <f>BI42-2</f>
        <v>8</v>
      </c>
      <c r="BJ43" s="24"/>
      <c r="BK43" s="24"/>
      <c r="BL43" s="24"/>
      <c r="BM43" s="24"/>
      <c r="CA43" s="1">
        <v>14</v>
      </c>
      <c r="CB43" s="23">
        <f t="shared" si="42"/>
        <v>145.20770955171378</v>
      </c>
      <c r="CC43" s="23">
        <f t="shared" si="43"/>
        <v>1065.8819023297606</v>
      </c>
      <c r="CD43" s="23">
        <f t="shared" si="44"/>
        <v>19982.305290446577</v>
      </c>
      <c r="CE43" s="23"/>
    </row>
    <row r="44" spans="2:83" ht="15">
      <c r="B44" s="10"/>
      <c r="D44" s="54" t="s">
        <v>142</v>
      </c>
      <c r="F44" s="1">
        <v>0.2</v>
      </c>
      <c r="G44" s="1">
        <v>0.15</v>
      </c>
      <c r="H44" s="5">
        <v>2.5</v>
      </c>
      <c r="I44" s="5">
        <v>1</v>
      </c>
      <c r="J44" s="5">
        <v>0</v>
      </c>
      <c r="K44" s="23"/>
      <c r="L44" s="23"/>
      <c r="M44" s="23">
        <f t="shared" si="50"/>
        <v>10.986309999999998</v>
      </c>
      <c r="N44" s="23">
        <f t="shared" si="51"/>
        <v>30.518295340867496</v>
      </c>
      <c r="O44" s="23">
        <f t="shared" si="52"/>
        <v>47.87249334086749</v>
      </c>
      <c r="P44" s="23">
        <f t="shared" si="53"/>
        <v>19.5319853408675</v>
      </c>
      <c r="Q44" s="26">
        <f t="shared" si="54"/>
        <v>16.120216583734578</v>
      </c>
      <c r="R44" s="5">
        <f t="shared" si="55"/>
        <v>1.3813789264670113</v>
      </c>
      <c r="S44" s="23">
        <f t="shared" si="56"/>
        <v>30.518295340867496</v>
      </c>
      <c r="T44" s="5">
        <f t="shared" si="57"/>
        <v>0</v>
      </c>
      <c r="U44" s="5">
        <f t="shared" si="58"/>
        <v>1.3813789264670113</v>
      </c>
      <c r="V44" s="5"/>
      <c r="W44" s="25">
        <f t="shared" si="59"/>
        <v>0.11391499999999999</v>
      </c>
      <c r="X44" s="25">
        <f t="shared" si="60"/>
        <v>0.10986309999999998</v>
      </c>
      <c r="Y44" s="5">
        <f t="shared" si="61"/>
        <v>0.31198499999999996</v>
      </c>
      <c r="Z44" s="5">
        <f t="shared" si="62"/>
        <v>0.30518295340867496</v>
      </c>
      <c r="AA44" s="5">
        <f t="shared" si="63"/>
        <v>0.157055</v>
      </c>
      <c r="AB44" s="5">
        <f t="shared" si="64"/>
        <v>0.14994198</v>
      </c>
      <c r="AC44" s="5">
        <f t="shared" si="65"/>
        <v>0.455124933408675</v>
      </c>
      <c r="AD44" s="5">
        <f t="shared" si="66"/>
        <v>0.023599999999999996</v>
      </c>
      <c r="AE44" s="5">
        <f t="shared" si="67"/>
        <v>0.478724933408675</v>
      </c>
      <c r="AF44" s="5">
        <f t="shared" si="68"/>
        <v>1.3813789264670113</v>
      </c>
      <c r="AG44" s="25">
        <f t="shared" si="69"/>
        <v>1.3813789264670113</v>
      </c>
      <c r="AH44" s="25">
        <f t="shared" si="70"/>
        <v>0.47872493340867495</v>
      </c>
      <c r="AI44" s="25">
        <f t="shared" si="71"/>
        <v>0</v>
      </c>
      <c r="AJ44" s="25">
        <f t="shared" si="72"/>
        <v>0.30518295340867496</v>
      </c>
      <c r="AK44" s="25">
        <f t="shared" si="73"/>
        <v>0.17354197999999998</v>
      </c>
      <c r="AL44" s="25">
        <f t="shared" si="74"/>
        <v>0.2676849020197157</v>
      </c>
      <c r="AM44" s="25">
        <f t="shared" si="75"/>
        <v>1</v>
      </c>
      <c r="AN44" s="26">
        <f t="shared" si="76"/>
        <v>16.120216583734578</v>
      </c>
      <c r="AO44" s="5">
        <f t="shared" si="77"/>
        <v>3.7357355325417174</v>
      </c>
      <c r="AP44" s="25">
        <f t="shared" si="78"/>
        <v>0.3917125008751911</v>
      </c>
      <c r="AQ44" s="26">
        <f t="shared" si="79"/>
        <v>7.516195598734001</v>
      </c>
      <c r="AR44" s="26">
        <f t="shared" si="80"/>
        <v>7.096729421645626</v>
      </c>
      <c r="AW44" s="5"/>
      <c r="AX44" s="5"/>
      <c r="BD44" s="23">
        <v>13</v>
      </c>
      <c r="BE44" s="23">
        <f t="shared" si="46"/>
        <v>170.8520920479078</v>
      </c>
      <c r="BF44" s="23"/>
      <c r="BG44" s="23"/>
      <c r="BH44" s="23"/>
      <c r="CA44" s="1">
        <v>13</v>
      </c>
      <c r="CB44" s="23"/>
      <c r="CC44" s="23"/>
      <c r="CD44" s="23"/>
      <c r="CE44" s="23"/>
    </row>
    <row r="45" spans="4:83" ht="15">
      <c r="D45" s="54" t="s">
        <v>143</v>
      </c>
      <c r="F45" s="1">
        <v>0.1</v>
      </c>
      <c r="G45" s="1">
        <v>0.05</v>
      </c>
      <c r="H45" s="5">
        <v>2.5</v>
      </c>
      <c r="I45" s="5">
        <v>1</v>
      </c>
      <c r="J45" s="5">
        <v>0</v>
      </c>
      <c r="K45" s="23"/>
      <c r="L45" s="23"/>
      <c r="M45" s="23">
        <f t="shared" si="50"/>
        <v>5.742310000000001</v>
      </c>
      <c r="N45" s="23">
        <f t="shared" si="51"/>
        <v>30.454126413667503</v>
      </c>
      <c r="O45" s="23">
        <f t="shared" si="52"/>
        <v>47.903064413667494</v>
      </c>
      <c r="P45" s="23">
        <f t="shared" si="53"/>
        <v>24.711816413667503</v>
      </c>
      <c r="Q45" s="26">
        <f t="shared" si="54"/>
        <v>21.993883925397952</v>
      </c>
      <c r="R45" s="5">
        <f t="shared" si="55"/>
        <v>1.3805687930378112</v>
      </c>
      <c r="S45" s="23">
        <f t="shared" si="56"/>
        <v>30.454126413667503</v>
      </c>
      <c r="T45" s="5">
        <f t="shared" si="57"/>
        <v>0</v>
      </c>
      <c r="U45" s="5">
        <f t="shared" si="58"/>
        <v>1.3805687930378112</v>
      </c>
      <c r="V45" s="5"/>
      <c r="W45" s="25">
        <f t="shared" si="59"/>
        <v>0.067915</v>
      </c>
      <c r="X45" s="25">
        <f t="shared" si="60"/>
        <v>0.057423100000000005</v>
      </c>
      <c r="Y45" s="5">
        <f t="shared" si="61"/>
        <v>0.311535</v>
      </c>
      <c r="Z45" s="5">
        <f t="shared" si="62"/>
        <v>0.30454126413667504</v>
      </c>
      <c r="AA45" s="5">
        <f t="shared" si="63"/>
        <v>0.15170499999999998</v>
      </c>
      <c r="AB45" s="5">
        <f t="shared" si="64"/>
        <v>0.14118937999999998</v>
      </c>
      <c r="AC45" s="5">
        <f t="shared" si="65"/>
        <v>0.445730644136675</v>
      </c>
      <c r="AD45" s="5">
        <f t="shared" si="66"/>
        <v>0.033299999999999996</v>
      </c>
      <c r="AE45" s="5">
        <f t="shared" si="67"/>
        <v>0.479030644136675</v>
      </c>
      <c r="AF45" s="5">
        <f t="shared" si="68"/>
        <v>1.3805687930378112</v>
      </c>
      <c r="AG45" s="25">
        <f t="shared" si="69"/>
        <v>1.3805687930378112</v>
      </c>
      <c r="AH45" s="25">
        <f t="shared" si="70"/>
        <v>0.47903064413667495</v>
      </c>
      <c r="AI45" s="25">
        <f t="shared" si="71"/>
        <v>0</v>
      </c>
      <c r="AJ45" s="25">
        <f t="shared" si="72"/>
        <v>0.30454126413667504</v>
      </c>
      <c r="AK45" s="25">
        <f t="shared" si="73"/>
        <v>0.17448937999999992</v>
      </c>
      <c r="AL45" s="25">
        <f t="shared" si="74"/>
        <v>0.4371195862002352</v>
      </c>
      <c r="AM45" s="25">
        <f t="shared" si="75"/>
        <v>1</v>
      </c>
      <c r="AN45" s="26">
        <f t="shared" si="76"/>
        <v>21.993883925397952</v>
      </c>
      <c r="AO45" s="5">
        <f t="shared" si="77"/>
        <v>2.2877034833710725</v>
      </c>
      <c r="AP45" s="25">
        <f t="shared" si="78"/>
        <v>2.173949391752912</v>
      </c>
      <c r="AQ45" s="26">
        <f t="shared" si="79"/>
        <v>10.67682973988401</v>
      </c>
      <c r="AR45" s="26">
        <f t="shared" si="80"/>
        <v>11.05024184516655</v>
      </c>
      <c r="AT45" s="5"/>
      <c r="AW45" s="5"/>
      <c r="AX45" s="5"/>
      <c r="BA45" s="39"/>
      <c r="BB45" s="39"/>
      <c r="BD45" s="23">
        <v>12</v>
      </c>
      <c r="BE45" s="23"/>
      <c r="BF45" s="23"/>
      <c r="BG45" s="23"/>
      <c r="BH45" s="23"/>
      <c r="CA45" s="1">
        <v>12</v>
      </c>
      <c r="CB45" s="23"/>
      <c r="CC45" s="23"/>
      <c r="CD45" s="23"/>
      <c r="CE45" s="23"/>
    </row>
    <row r="46" spans="4:83" ht="15">
      <c r="D46" s="54" t="s">
        <v>144</v>
      </c>
      <c r="F46" s="1">
        <v>0.6</v>
      </c>
      <c r="G46" s="1">
        <v>0.25</v>
      </c>
      <c r="H46" s="5">
        <v>2.5</v>
      </c>
      <c r="I46" s="5">
        <v>1</v>
      </c>
      <c r="J46" s="5">
        <v>0</v>
      </c>
      <c r="K46" s="23"/>
      <c r="L46" s="23"/>
      <c r="M46" s="23">
        <f t="shared" si="50"/>
        <v>16.573450000000005</v>
      </c>
      <c r="N46" s="23">
        <f t="shared" si="51"/>
        <v>26.7045049991875</v>
      </c>
      <c r="O46" s="23">
        <f t="shared" si="52"/>
        <v>43.41307499918751</v>
      </c>
      <c r="P46" s="23">
        <f t="shared" si="53"/>
        <v>10.131054999187494</v>
      </c>
      <c r="Q46" s="26">
        <f t="shared" si="54"/>
        <v>11.25889492484162</v>
      </c>
      <c r="R46" s="5">
        <f t="shared" si="55"/>
        <v>1.4995535125215311</v>
      </c>
      <c r="S46" s="23">
        <f t="shared" si="56"/>
        <v>26.7045049991875</v>
      </c>
      <c r="T46" s="5">
        <f t="shared" si="57"/>
        <v>0</v>
      </c>
      <c r="U46" s="5">
        <f t="shared" si="58"/>
        <v>1.4995535125215311</v>
      </c>
      <c r="V46" s="5"/>
      <c r="W46" s="25">
        <f t="shared" si="59"/>
        <v>0.16292500000000001</v>
      </c>
      <c r="X46" s="25">
        <f t="shared" si="60"/>
        <v>0.16573450000000003</v>
      </c>
      <c r="Y46" s="5">
        <f t="shared" si="61"/>
        <v>0.284575</v>
      </c>
      <c r="Z46" s="5">
        <f t="shared" si="62"/>
        <v>0.267045049991875</v>
      </c>
      <c r="AA46" s="5">
        <f t="shared" si="63"/>
        <v>0.176825</v>
      </c>
      <c r="AB46" s="5">
        <f t="shared" si="64"/>
        <v>0.18228570000000002</v>
      </c>
      <c r="AC46" s="5">
        <f t="shared" si="65"/>
        <v>0.44933074999187506</v>
      </c>
      <c r="AD46" s="5">
        <f t="shared" si="66"/>
        <v>-0.015200000000000005</v>
      </c>
      <c r="AE46" s="5">
        <f t="shared" si="67"/>
        <v>0.43413074999187506</v>
      </c>
      <c r="AF46" s="5">
        <f t="shared" si="68"/>
        <v>1.4995535125215311</v>
      </c>
      <c r="AG46" s="25">
        <f t="shared" si="69"/>
        <v>1.4995535125215311</v>
      </c>
      <c r="AH46" s="25">
        <f t="shared" si="70"/>
        <v>0.43413074999187506</v>
      </c>
      <c r="AI46" s="25">
        <f t="shared" si="71"/>
        <v>0</v>
      </c>
      <c r="AJ46" s="25">
        <f t="shared" si="72"/>
        <v>0.267045049991875</v>
      </c>
      <c r="AK46" s="25">
        <f t="shared" si="73"/>
        <v>0.16708570000000006</v>
      </c>
      <c r="AL46" s="25">
        <f t="shared" si="74"/>
        <v>0.12498458284884444</v>
      </c>
      <c r="AM46" s="25">
        <f t="shared" si="75"/>
        <v>1</v>
      </c>
      <c r="AN46" s="26">
        <f t="shared" si="76"/>
        <v>11.25889492484162</v>
      </c>
      <c r="AO46" s="5">
        <f t="shared" si="77"/>
        <v>8.000986819385504</v>
      </c>
      <c r="AP46" s="25">
        <f t="shared" si="78"/>
        <v>0.0008523625106841932</v>
      </c>
      <c r="AQ46" s="26">
        <f t="shared" si="79"/>
        <v>3.060683183270008</v>
      </c>
      <c r="AR46" s="26">
        <f t="shared" si="80"/>
        <v>2.202181614527534</v>
      </c>
      <c r="AT46" s="5"/>
      <c r="AW46" s="5"/>
      <c r="AX46" s="5" t="s">
        <v>108</v>
      </c>
      <c r="BA46" s="39"/>
      <c r="BB46" s="39"/>
      <c r="BD46" s="23">
        <v>11</v>
      </c>
      <c r="BE46" s="23"/>
      <c r="BF46" s="23"/>
      <c r="BG46" s="23"/>
      <c r="BH46" s="23"/>
      <c r="CA46" s="1">
        <v>11</v>
      </c>
      <c r="CB46" s="23"/>
      <c r="CC46" s="23"/>
      <c r="CD46" s="23"/>
      <c r="CE46" s="23"/>
    </row>
    <row r="47" spans="4:83" ht="15">
      <c r="D47" s="54" t="s">
        <v>145</v>
      </c>
      <c r="F47" s="1">
        <v>0.3</v>
      </c>
      <c r="G47" s="1">
        <v>0.35</v>
      </c>
      <c r="H47" s="5">
        <v>2.5</v>
      </c>
      <c r="I47" s="5">
        <v>1</v>
      </c>
      <c r="J47" s="5">
        <v>0</v>
      </c>
      <c r="K47" s="23"/>
      <c r="L47" s="23"/>
      <c r="M47" s="23">
        <f t="shared" si="50"/>
        <v>21.79921</v>
      </c>
      <c r="N47" s="23">
        <f t="shared" si="51"/>
        <v>35.789791318667504</v>
      </c>
      <c r="O47" s="23">
        <f t="shared" si="52"/>
        <v>47.724069318667496</v>
      </c>
      <c r="P47" s="23">
        <f t="shared" si="53"/>
        <v>13.990581318667505</v>
      </c>
      <c r="Q47" s="26">
        <f t="shared" si="54"/>
        <v>4.3238383385703605</v>
      </c>
      <c r="R47" s="5">
        <f t="shared" si="55"/>
        <v>1.3853121630553114</v>
      </c>
      <c r="S47" s="23">
        <f t="shared" si="56"/>
        <v>35.789791318667504</v>
      </c>
      <c r="T47" s="5">
        <f t="shared" si="57"/>
        <v>0</v>
      </c>
      <c r="U47" s="5">
        <f t="shared" si="58"/>
        <v>1.3853121630553114</v>
      </c>
      <c r="V47" s="5"/>
      <c r="W47" s="25">
        <f t="shared" si="59"/>
        <v>0.20876499999999998</v>
      </c>
      <c r="X47" s="25">
        <f t="shared" si="60"/>
        <v>0.2179921</v>
      </c>
      <c r="Y47" s="5">
        <f t="shared" si="61"/>
        <v>0.347785</v>
      </c>
      <c r="Z47" s="5">
        <f t="shared" si="62"/>
        <v>0.357897913186675</v>
      </c>
      <c r="AA47" s="5">
        <f t="shared" si="63"/>
        <v>0.12985499999999997</v>
      </c>
      <c r="AB47" s="5">
        <f t="shared" si="64"/>
        <v>0.10544277999999996</v>
      </c>
      <c r="AC47" s="5">
        <f t="shared" si="65"/>
        <v>0.463340693186675</v>
      </c>
      <c r="AD47" s="5">
        <f t="shared" si="66"/>
        <v>0.013899999999999996</v>
      </c>
      <c r="AE47" s="5">
        <f t="shared" si="67"/>
        <v>0.47724069318667495</v>
      </c>
      <c r="AF47" s="5">
        <f t="shared" si="68"/>
        <v>1.3853121630553114</v>
      </c>
      <c r="AG47" s="25">
        <f t="shared" si="69"/>
        <v>1.3853121630553114</v>
      </c>
      <c r="AH47" s="25">
        <f t="shared" si="70"/>
        <v>0.47724069318667495</v>
      </c>
      <c r="AI47" s="25">
        <f t="shared" si="71"/>
        <v>0</v>
      </c>
      <c r="AJ47" s="25">
        <f t="shared" si="72"/>
        <v>0.357897913186675</v>
      </c>
      <c r="AK47" s="25">
        <f t="shared" si="73"/>
        <v>0.11934277999999993</v>
      </c>
      <c r="AL47" s="25">
        <f t="shared" si="74"/>
        <v>0.12989946744484457</v>
      </c>
      <c r="AM47" s="25">
        <f t="shared" si="75"/>
        <v>1</v>
      </c>
      <c r="AN47" s="26">
        <f t="shared" si="76"/>
        <v>4.3238383385703605</v>
      </c>
      <c r="AO47" s="5">
        <f t="shared" si="77"/>
        <v>7.698260968041312</v>
      </c>
      <c r="AP47" s="25">
        <f t="shared" si="78"/>
        <v>0.012112548978618746</v>
      </c>
      <c r="AQ47" s="26">
        <f t="shared" si="79"/>
        <v>5.467499122476006</v>
      </c>
      <c r="AR47" s="26">
        <f t="shared" si="80"/>
        <v>4.747542654721736</v>
      </c>
      <c r="AT47" s="5"/>
      <c r="BB47" s="39"/>
      <c r="BD47" s="23">
        <v>10</v>
      </c>
      <c r="BE47" s="23"/>
      <c r="BF47" s="23"/>
      <c r="BG47" s="23"/>
      <c r="BH47" s="23"/>
      <c r="CA47" s="1">
        <v>10</v>
      </c>
      <c r="CB47" s="23"/>
      <c r="CC47" s="23"/>
      <c r="CD47" s="23"/>
      <c r="CE47" s="23"/>
    </row>
    <row r="48" spans="4:83" ht="15">
      <c r="D48" s="54" t="s">
        <v>146</v>
      </c>
      <c r="F48" s="1">
        <v>0.1</v>
      </c>
      <c r="G48" s="1">
        <v>0.35</v>
      </c>
      <c r="H48" s="5">
        <v>2.5</v>
      </c>
      <c r="I48" s="5">
        <v>1</v>
      </c>
      <c r="J48" s="5">
        <v>0</v>
      </c>
      <c r="K48" s="23"/>
      <c r="L48" s="23"/>
      <c r="M48" s="23">
        <f t="shared" si="50"/>
        <v>21.51877</v>
      </c>
      <c r="N48" s="23">
        <f t="shared" si="51"/>
        <v>38.183510271907494</v>
      </c>
      <c r="O48" s="23">
        <f t="shared" si="52"/>
        <v>51.1219962719075</v>
      </c>
      <c r="P48" s="23">
        <f t="shared" si="53"/>
        <v>16.664740271907494</v>
      </c>
      <c r="Q48" s="26">
        <f t="shared" si="54"/>
        <v>5.683962093146491</v>
      </c>
      <c r="R48" s="5">
        <f t="shared" si="55"/>
        <v>1.2952670987944512</v>
      </c>
      <c r="S48" s="23">
        <f t="shared" si="56"/>
        <v>38.183510271907494</v>
      </c>
      <c r="T48" s="5">
        <f t="shared" si="57"/>
        <v>0</v>
      </c>
      <c r="U48" s="5">
        <f t="shared" si="58"/>
        <v>1.2952670987944512</v>
      </c>
      <c r="V48" s="5"/>
      <c r="W48" s="25">
        <f t="shared" si="59"/>
        <v>0.206305</v>
      </c>
      <c r="X48" s="25">
        <f t="shared" si="60"/>
        <v>0.2151877</v>
      </c>
      <c r="Y48" s="5">
        <f t="shared" si="61"/>
        <v>0.363345</v>
      </c>
      <c r="Z48" s="5">
        <f t="shared" si="62"/>
        <v>0.38183510271907495</v>
      </c>
      <c r="AA48" s="5">
        <f t="shared" si="63"/>
        <v>0.124135</v>
      </c>
      <c r="AB48" s="5">
        <f t="shared" si="64"/>
        <v>0.09608486</v>
      </c>
      <c r="AC48" s="5">
        <f t="shared" si="65"/>
        <v>0.47791996271907494</v>
      </c>
      <c r="AD48" s="5">
        <f t="shared" si="66"/>
        <v>0.033299999999999996</v>
      </c>
      <c r="AE48" s="5">
        <f t="shared" si="67"/>
        <v>0.511219962719075</v>
      </c>
      <c r="AF48" s="5">
        <f t="shared" si="68"/>
        <v>1.2952670987944512</v>
      </c>
      <c r="AG48" s="25">
        <f t="shared" si="69"/>
        <v>1.2952670987944512</v>
      </c>
      <c r="AH48" s="25">
        <f t="shared" si="70"/>
        <v>0.511219962719075</v>
      </c>
      <c r="AI48" s="25">
        <f t="shared" si="71"/>
        <v>0</v>
      </c>
      <c r="AJ48" s="25">
        <f t="shared" si="72"/>
        <v>0.38183510271907495</v>
      </c>
      <c r="AK48" s="25">
        <f t="shared" si="73"/>
        <v>0.12938486000000005</v>
      </c>
      <c r="AL48" s="25">
        <f t="shared" si="74"/>
        <v>0.15025447363131744</v>
      </c>
      <c r="AM48" s="25">
        <f t="shared" si="75"/>
        <v>1</v>
      </c>
      <c r="AN48" s="26">
        <f t="shared" si="76"/>
        <v>5.683962093146491</v>
      </c>
      <c r="AO48" s="5">
        <f t="shared" si="77"/>
        <v>6.65537588220981</v>
      </c>
      <c r="AP48" s="25">
        <f t="shared" si="78"/>
        <v>0.054417747950311825</v>
      </c>
      <c r="AQ48" s="26">
        <f t="shared" si="79"/>
        <v>6.398615474399996</v>
      </c>
      <c r="AR48" s="26">
        <f t="shared" si="80"/>
        <v>5.794417525577418</v>
      </c>
      <c r="AT48" s="5"/>
      <c r="AX48" s="40" t="s">
        <v>102</v>
      </c>
      <c r="AY48" s="40" t="s">
        <v>68</v>
      </c>
      <c r="AZ48" s="40" t="s">
        <v>106</v>
      </c>
      <c r="BA48" s="41" t="s">
        <v>109</v>
      </c>
      <c r="BB48" s="39"/>
      <c r="BD48" s="23">
        <v>9</v>
      </c>
      <c r="BE48" s="23"/>
      <c r="BF48" s="23"/>
      <c r="BG48" s="23"/>
      <c r="BH48" s="23"/>
      <c r="CA48" s="1">
        <v>9</v>
      </c>
      <c r="CB48" s="23"/>
      <c r="CC48" s="23"/>
      <c r="CD48" s="23"/>
      <c r="CE48" s="23"/>
    </row>
    <row r="49" spans="4:83" ht="15">
      <c r="D49" s="54" t="s">
        <v>147</v>
      </c>
      <c r="F49" s="1">
        <v>0.1</v>
      </c>
      <c r="G49" s="1">
        <v>0.45</v>
      </c>
      <c r="H49" s="5">
        <v>2.5</v>
      </c>
      <c r="I49" s="5">
        <v>1</v>
      </c>
      <c r="J49" s="5">
        <v>0</v>
      </c>
      <c r="K49" s="23"/>
      <c r="L49" s="23"/>
      <c r="M49" s="23">
        <f t="shared" si="50"/>
        <v>26.77759</v>
      </c>
      <c r="N49" s="23">
        <f t="shared" si="51"/>
        <v>40.9130349462675</v>
      </c>
      <c r="O49" s="23">
        <f t="shared" si="52"/>
        <v>52.348036946267506</v>
      </c>
      <c r="P49" s="23">
        <f t="shared" si="53"/>
        <v>14.135444946267501</v>
      </c>
      <c r="Q49" s="26">
        <f t="shared" si="54"/>
        <v>3.6716234931984655</v>
      </c>
      <c r="R49" s="5">
        <f t="shared" si="55"/>
        <v>1.262777020923911</v>
      </c>
      <c r="S49" s="23">
        <f t="shared" si="56"/>
        <v>40.9130349462675</v>
      </c>
      <c r="T49" s="5">
        <f t="shared" si="57"/>
        <v>0</v>
      </c>
      <c r="U49" s="5">
        <f t="shared" si="58"/>
        <v>1.262777020923911</v>
      </c>
      <c r="V49" s="5"/>
      <c r="W49" s="25">
        <f t="shared" si="59"/>
        <v>0.252435</v>
      </c>
      <c r="X49" s="25">
        <f t="shared" si="60"/>
        <v>0.2677759</v>
      </c>
      <c r="Y49" s="5">
        <f t="shared" si="61"/>
        <v>0.38061500000000004</v>
      </c>
      <c r="Z49" s="5">
        <f t="shared" si="62"/>
        <v>0.409130349462675</v>
      </c>
      <c r="AA49" s="5">
        <f t="shared" si="63"/>
        <v>0.11494499999999999</v>
      </c>
      <c r="AB49" s="5">
        <f t="shared" si="64"/>
        <v>0.08105001999999999</v>
      </c>
      <c r="AC49" s="5">
        <f t="shared" si="65"/>
        <v>0.490180369462675</v>
      </c>
      <c r="AD49" s="5">
        <f t="shared" si="66"/>
        <v>0.033299999999999996</v>
      </c>
      <c r="AE49" s="5">
        <f t="shared" si="67"/>
        <v>0.5234803694626751</v>
      </c>
      <c r="AF49" s="5">
        <f t="shared" si="68"/>
        <v>1.262777020923911</v>
      </c>
      <c r="AG49" s="25">
        <f t="shared" si="69"/>
        <v>1.262777020923911</v>
      </c>
      <c r="AH49" s="25">
        <f t="shared" si="70"/>
        <v>0.5234803694626751</v>
      </c>
      <c r="AI49" s="25">
        <f t="shared" si="71"/>
        <v>0</v>
      </c>
      <c r="AJ49" s="25">
        <f t="shared" si="72"/>
        <v>0.409130349462675</v>
      </c>
      <c r="AK49" s="25">
        <f t="shared" si="73"/>
        <v>0.11435002000000005</v>
      </c>
      <c r="AL49" s="25">
        <f t="shared" si="74"/>
        <v>0.11105980219130634</v>
      </c>
      <c r="AM49" s="25">
        <f t="shared" si="75"/>
        <v>1</v>
      </c>
      <c r="AN49" s="26">
        <f t="shared" si="76"/>
        <v>3.6716234931984655</v>
      </c>
      <c r="AO49" s="5">
        <f t="shared" si="77"/>
        <v>9.004157942560058</v>
      </c>
      <c r="AP49" s="25">
        <f t="shared" si="78"/>
        <v>0.010559791777710702</v>
      </c>
      <c r="AQ49" s="26">
        <f t="shared" si="79"/>
        <v>4.922664467387996</v>
      </c>
      <c r="AR49" s="26">
        <f t="shared" si="80"/>
        <v>4.151055891742839</v>
      </c>
      <c r="AT49" s="5"/>
      <c r="AW49" s="1" t="s">
        <v>110</v>
      </c>
      <c r="AX49" s="5">
        <v>0.65</v>
      </c>
      <c r="AY49" s="5">
        <v>0.10299277978339348</v>
      </c>
      <c r="AZ49" s="5">
        <v>2.5</v>
      </c>
      <c r="BA49" s="5">
        <v>1</v>
      </c>
      <c r="BB49" s="39"/>
      <c r="BD49" s="23">
        <v>8</v>
      </c>
      <c r="BE49" s="23"/>
      <c r="BF49" s="23"/>
      <c r="BG49" s="23"/>
      <c r="BH49" s="23"/>
      <c r="CA49" s="1">
        <v>8</v>
      </c>
      <c r="CB49" s="23"/>
      <c r="CC49" s="23"/>
      <c r="CD49" s="23"/>
      <c r="CE49" s="23"/>
    </row>
    <row r="50" spans="4:83" ht="15">
      <c r="D50" s="54" t="s">
        <v>148</v>
      </c>
      <c r="F50" s="1">
        <v>0.5</v>
      </c>
      <c r="G50" s="1">
        <v>0.4</v>
      </c>
      <c r="H50" s="5">
        <v>2.5</v>
      </c>
      <c r="I50" s="5">
        <v>1</v>
      </c>
      <c r="J50" s="5">
        <v>0</v>
      </c>
      <c r="K50" s="23"/>
      <c r="L50" s="23"/>
      <c r="M50" s="23">
        <f t="shared" si="50"/>
        <v>24.864099999999997</v>
      </c>
      <c r="N50" s="23">
        <f t="shared" si="51"/>
        <v>36.111510283</v>
      </c>
      <c r="O50" s="23">
        <f t="shared" si="52"/>
        <v>44.37899028300001</v>
      </c>
      <c r="P50" s="23">
        <f t="shared" si="53"/>
        <v>11.247410283000004</v>
      </c>
      <c r="Q50" s="26">
        <f t="shared" si="54"/>
        <v>1.3916587486499672</v>
      </c>
      <c r="R50" s="5">
        <f t="shared" si="55"/>
        <v>1.4739567575004997</v>
      </c>
      <c r="S50" s="23">
        <f t="shared" si="56"/>
        <v>36.111510283</v>
      </c>
      <c r="T50" s="5">
        <f t="shared" si="57"/>
        <v>0</v>
      </c>
      <c r="U50" s="5">
        <f t="shared" si="58"/>
        <v>1.4739567575004997</v>
      </c>
      <c r="V50" s="5"/>
      <c r="W50" s="25">
        <f t="shared" si="59"/>
        <v>0.23564999999999997</v>
      </c>
      <c r="X50" s="25">
        <f t="shared" si="60"/>
        <v>0.24864099999999997</v>
      </c>
      <c r="Y50" s="5">
        <f t="shared" si="61"/>
        <v>0.3499</v>
      </c>
      <c r="Z50" s="5">
        <f t="shared" si="62"/>
        <v>0.36111510283</v>
      </c>
      <c r="AA50" s="5">
        <f t="shared" si="63"/>
        <v>0.11930000000000002</v>
      </c>
      <c r="AB50" s="5">
        <f t="shared" si="64"/>
        <v>0.08817480000000003</v>
      </c>
      <c r="AC50" s="5">
        <f t="shared" si="65"/>
        <v>0.44928990283000003</v>
      </c>
      <c r="AD50" s="5">
        <f t="shared" si="66"/>
        <v>-0.005500000000000005</v>
      </c>
      <c r="AE50" s="5">
        <f t="shared" si="67"/>
        <v>0.44378990283</v>
      </c>
      <c r="AF50" s="5">
        <f t="shared" si="68"/>
        <v>1.4739567575004997</v>
      </c>
      <c r="AG50" s="25">
        <f t="shared" si="69"/>
        <v>1.4739567575004997</v>
      </c>
      <c r="AH50" s="25">
        <f t="shared" si="70"/>
        <v>0.4437899028300001</v>
      </c>
      <c r="AI50" s="25">
        <f t="shared" si="71"/>
        <v>0</v>
      </c>
      <c r="AJ50" s="25">
        <f t="shared" si="72"/>
        <v>0.36111510283</v>
      </c>
      <c r="AK50" s="25">
        <f t="shared" si="73"/>
        <v>0.0826748000000001</v>
      </c>
      <c r="AL50" s="25">
        <f t="shared" si="74"/>
        <v>0.09777698242361899</v>
      </c>
      <c r="AM50" s="25">
        <f t="shared" si="75"/>
        <v>1</v>
      </c>
      <c r="AN50" s="26">
        <f t="shared" si="76"/>
        <v>1.3916587486499672</v>
      </c>
      <c r="AO50" s="5">
        <f t="shared" si="77"/>
        <v>10.227355919693839</v>
      </c>
      <c r="AP50" s="25">
        <f t="shared" si="78"/>
        <v>0.0009871850785332368</v>
      </c>
      <c r="AQ50" s="26">
        <f t="shared" si="79"/>
        <v>4.398172411879997</v>
      </c>
      <c r="AR50" s="26">
        <f t="shared" si="80"/>
        <v>3.5880573406300043</v>
      </c>
      <c r="AT50" s="5"/>
      <c r="AW50" s="1" t="s">
        <v>111</v>
      </c>
      <c r="AX50" s="5">
        <v>0.2</v>
      </c>
      <c r="AY50" s="5">
        <v>0.2</v>
      </c>
      <c r="AZ50" s="5">
        <v>2.5</v>
      </c>
      <c r="BA50" s="5">
        <v>1</v>
      </c>
      <c r="BB50" s="39"/>
      <c r="BD50" s="23">
        <v>7</v>
      </c>
      <c r="BE50" s="23"/>
      <c r="CA50" s="1">
        <v>7</v>
      </c>
      <c r="CB50" s="23"/>
      <c r="CC50" s="23"/>
      <c r="CD50" s="23"/>
      <c r="CE50" s="23"/>
    </row>
    <row r="51" spans="4:54" ht="15">
      <c r="D51" s="54" t="s">
        <v>149</v>
      </c>
      <c r="F51" s="1">
        <v>0.25</v>
      </c>
      <c r="G51" s="1">
        <v>0.5</v>
      </c>
      <c r="H51" s="5">
        <v>2.5</v>
      </c>
      <c r="I51" s="5">
        <v>1</v>
      </c>
      <c r="J51" s="5">
        <v>0</v>
      </c>
      <c r="K51" s="23"/>
      <c r="L51" s="23"/>
      <c r="M51" s="23">
        <f t="shared" si="50"/>
        <v>29.791749999999993</v>
      </c>
      <c r="N51" s="23">
        <f t="shared" si="51"/>
        <v>42.06306301874999</v>
      </c>
      <c r="O51" s="23">
        <f t="shared" si="52"/>
        <v>49.84346301875</v>
      </c>
      <c r="P51" s="23">
        <f t="shared" si="53"/>
        <v>12.27131301875</v>
      </c>
      <c r="Q51" s="26">
        <f t="shared" si="54"/>
        <v>1.1449583141898936</v>
      </c>
      <c r="R51" s="5">
        <f t="shared" si="55"/>
        <v>1.329148230003125</v>
      </c>
      <c r="S51" s="23">
        <f t="shared" si="56"/>
        <v>42.06306301874999</v>
      </c>
      <c r="T51" s="5">
        <f t="shared" si="57"/>
        <v>0</v>
      </c>
      <c r="U51" s="5">
        <f t="shared" si="58"/>
        <v>1.329148230003125</v>
      </c>
      <c r="V51" s="5"/>
      <c r="W51" s="25">
        <f t="shared" si="59"/>
        <v>0.278875</v>
      </c>
      <c r="X51" s="25">
        <f t="shared" si="60"/>
        <v>0.29791749999999995</v>
      </c>
      <c r="Y51" s="5">
        <f t="shared" si="61"/>
        <v>0.38775</v>
      </c>
      <c r="Z51" s="5">
        <f t="shared" si="62"/>
        <v>0.42063063018749997</v>
      </c>
      <c r="AA51" s="5">
        <f t="shared" si="63"/>
        <v>0.1015</v>
      </c>
      <c r="AB51" s="5">
        <f t="shared" si="64"/>
        <v>0.05905400000000001</v>
      </c>
      <c r="AC51" s="5">
        <f t="shared" si="65"/>
        <v>0.47968463018749996</v>
      </c>
      <c r="AD51" s="5">
        <f t="shared" si="66"/>
        <v>0.018749999999999996</v>
      </c>
      <c r="AE51" s="5">
        <f t="shared" si="67"/>
        <v>0.49843463018749995</v>
      </c>
      <c r="AF51" s="5">
        <f t="shared" si="68"/>
        <v>1.329148230003125</v>
      </c>
      <c r="AG51" s="25">
        <f t="shared" si="69"/>
        <v>1.329148230003125</v>
      </c>
      <c r="AH51" s="25">
        <f t="shared" si="70"/>
        <v>0.4984346301875</v>
      </c>
      <c r="AI51" s="25">
        <f t="shared" si="71"/>
        <v>0</v>
      </c>
      <c r="AJ51" s="25">
        <f t="shared" si="72"/>
        <v>0.42063063018749997</v>
      </c>
      <c r="AK51" s="25">
        <f t="shared" si="73"/>
        <v>0.07780400000000004</v>
      </c>
      <c r="AL51" s="25">
        <f t="shared" si="74"/>
        <v>0.09037580211547262</v>
      </c>
      <c r="AM51" s="25">
        <f t="shared" si="75"/>
        <v>1</v>
      </c>
      <c r="AN51" s="26">
        <f t="shared" si="76"/>
        <v>1.1449583141898936</v>
      </c>
      <c r="AO51" s="5">
        <f t="shared" si="77"/>
        <v>11.06490870999193</v>
      </c>
      <c r="AP51" s="25">
        <f t="shared" si="78"/>
        <v>0.002275158585375033</v>
      </c>
      <c r="AQ51" s="26">
        <f t="shared" si="79"/>
        <v>4.860794859000002</v>
      </c>
      <c r="AR51" s="26">
        <f t="shared" si="80"/>
        <v>4.084071573158619</v>
      </c>
      <c r="AT51" s="5"/>
      <c r="AW51" s="1" t="s">
        <v>112</v>
      </c>
      <c r="AX51" s="5">
        <v>0.33</v>
      </c>
      <c r="AY51" s="5">
        <v>0.34</v>
      </c>
      <c r="AZ51" s="5">
        <v>2.5</v>
      </c>
      <c r="BA51" s="5">
        <v>1</v>
      </c>
      <c r="BB51" s="39"/>
    </row>
    <row r="52" spans="8:54" ht="15">
      <c r="H52" s="5"/>
      <c r="I52" s="5"/>
      <c r="J52" s="5"/>
      <c r="K52" s="23"/>
      <c r="L52" s="23"/>
      <c r="M52" s="23"/>
      <c r="N52" s="23"/>
      <c r="O52" s="23"/>
      <c r="P52" s="23"/>
      <c r="Q52" s="26"/>
      <c r="R52" s="5"/>
      <c r="S52" s="5"/>
      <c r="T52" s="5"/>
      <c r="U52" s="5"/>
      <c r="V52" s="5"/>
      <c r="W52" s="25"/>
      <c r="X52" s="25"/>
      <c r="Y52" s="5"/>
      <c r="Z52" s="5"/>
      <c r="AA52" s="5"/>
      <c r="AB52" s="5"/>
      <c r="AC52" s="5"/>
      <c r="AD52" s="5"/>
      <c r="AE52" s="5"/>
      <c r="AF52" s="5"/>
      <c r="AG52" s="25"/>
      <c r="AH52" s="25"/>
      <c r="AI52" s="25"/>
      <c r="AJ52" s="25"/>
      <c r="AK52" s="25"/>
      <c r="AL52" s="25"/>
      <c r="AM52" s="25"/>
      <c r="AN52" s="26"/>
      <c r="AO52" s="5"/>
      <c r="AP52" s="25"/>
      <c r="AQ52" s="26"/>
      <c r="AR52" s="26"/>
      <c r="AT52" s="5"/>
      <c r="AW52" s="1" t="s">
        <v>113</v>
      </c>
      <c r="AX52" s="5">
        <v>0.1</v>
      </c>
      <c r="AY52" s="5">
        <v>0.34</v>
      </c>
      <c r="AZ52" s="5">
        <v>2.5</v>
      </c>
      <c r="BA52" s="5">
        <v>1</v>
      </c>
      <c r="BB52" s="39"/>
    </row>
    <row r="53" spans="8:54" ht="15">
      <c r="H53" s="5"/>
      <c r="I53" s="5"/>
      <c r="J53" s="5"/>
      <c r="K53" s="23"/>
      <c r="L53" s="23"/>
      <c r="M53" s="23"/>
      <c r="N53" s="23"/>
      <c r="O53" s="23"/>
      <c r="P53" s="23"/>
      <c r="Q53" s="26"/>
      <c r="R53" s="5"/>
      <c r="S53" s="5"/>
      <c r="T53" s="5"/>
      <c r="U53" s="5"/>
      <c r="V53" s="5"/>
      <c r="W53" s="25"/>
      <c r="X53" s="25"/>
      <c r="Y53" s="5"/>
      <c r="Z53" s="5"/>
      <c r="AA53" s="5"/>
      <c r="AB53" s="5"/>
      <c r="AC53" s="5"/>
      <c r="AD53" s="5"/>
      <c r="AE53" s="5"/>
      <c r="AF53" s="5"/>
      <c r="AG53" s="25"/>
      <c r="AH53" s="25"/>
      <c r="AI53" s="25"/>
      <c r="AJ53" s="25"/>
      <c r="AK53" s="25"/>
      <c r="AL53" s="25"/>
      <c r="AM53" s="25"/>
      <c r="AN53" s="26"/>
      <c r="AO53" s="5"/>
      <c r="AP53" s="25"/>
      <c r="AQ53" s="26"/>
      <c r="AR53" s="26"/>
      <c r="AT53" s="5"/>
      <c r="AW53" s="40"/>
      <c r="AX53" s="40" t="s">
        <v>114</v>
      </c>
      <c r="AY53" s="40"/>
      <c r="AZ53" s="40"/>
      <c r="BA53" s="39"/>
      <c r="BB53" s="39"/>
    </row>
    <row r="54" spans="8:54" ht="15">
      <c r="H54" s="5"/>
      <c r="I54" s="5"/>
      <c r="J54" s="5"/>
      <c r="K54" s="23"/>
      <c r="L54" s="23"/>
      <c r="M54" s="23"/>
      <c r="N54" s="23"/>
      <c r="O54" s="23"/>
      <c r="P54" s="23"/>
      <c r="Q54" s="26"/>
      <c r="R54" s="5"/>
      <c r="S54" s="5"/>
      <c r="T54" s="5"/>
      <c r="U54" s="5"/>
      <c r="V54" s="5"/>
      <c r="W54" s="25"/>
      <c r="X54" s="25"/>
      <c r="Y54" s="5"/>
      <c r="Z54" s="5"/>
      <c r="AA54" s="5"/>
      <c r="AB54" s="5"/>
      <c r="AC54" s="5"/>
      <c r="AD54" s="5"/>
      <c r="AE54" s="5"/>
      <c r="AF54" s="5"/>
      <c r="AG54" s="25"/>
      <c r="AH54" s="25"/>
      <c r="AI54" s="25"/>
      <c r="AJ54" s="25"/>
      <c r="AK54" s="25"/>
      <c r="AL54" s="25"/>
      <c r="AM54" s="25"/>
      <c r="AN54" s="26"/>
      <c r="AO54" s="5"/>
      <c r="AP54" s="25"/>
      <c r="AQ54" s="26"/>
      <c r="AR54" s="26"/>
      <c r="AT54" s="5"/>
      <c r="AW54" s="40" t="s">
        <v>99</v>
      </c>
      <c r="AX54" s="40" t="s">
        <v>100</v>
      </c>
      <c r="AY54" s="40" t="s">
        <v>106</v>
      </c>
      <c r="AZ54" s="40" t="s">
        <v>109</v>
      </c>
      <c r="BA54" s="39"/>
      <c r="BB54" s="39"/>
    </row>
    <row r="55" spans="8:54" ht="15">
      <c r="H55" s="5"/>
      <c r="I55" s="5"/>
      <c r="J55" s="5"/>
      <c r="K55" s="23"/>
      <c r="L55" s="23"/>
      <c r="M55" s="23"/>
      <c r="N55" s="23"/>
      <c r="O55" s="23"/>
      <c r="P55" s="23"/>
      <c r="Q55" s="26"/>
      <c r="R55" s="5"/>
      <c r="S55" s="5"/>
      <c r="T55" s="5"/>
      <c r="U55" s="5"/>
      <c r="V55" s="5"/>
      <c r="W55" s="25"/>
      <c r="X55" s="25"/>
      <c r="Y55" s="5"/>
      <c r="Z55" s="5"/>
      <c r="AA55" s="5"/>
      <c r="AB55" s="5"/>
      <c r="AC55" s="5"/>
      <c r="AD55" s="5"/>
      <c r="AE55" s="5"/>
      <c r="AF55" s="5"/>
      <c r="AG55" s="25"/>
      <c r="AH55" s="25"/>
      <c r="AI55" s="25"/>
      <c r="AJ55" s="25"/>
      <c r="AK55" s="25"/>
      <c r="AL55" s="25"/>
      <c r="AM55" s="25"/>
      <c r="AN55" s="26"/>
      <c r="AO55" s="5"/>
      <c r="AP55" s="25"/>
      <c r="AQ55" s="26"/>
      <c r="AR55" s="26"/>
      <c r="AT55" s="5"/>
      <c r="AW55" s="5">
        <v>0.2</v>
      </c>
      <c r="AX55" s="5">
        <v>0.2</v>
      </c>
      <c r="AY55" s="5">
        <v>0.5</v>
      </c>
      <c r="AZ55" s="5">
        <v>1</v>
      </c>
      <c r="BA55" s="39"/>
      <c r="BB55" s="39"/>
    </row>
    <row r="56" spans="8:54" ht="15">
      <c r="H56" s="5"/>
      <c r="I56" s="5"/>
      <c r="J56" s="5"/>
      <c r="K56" s="23"/>
      <c r="L56" s="23"/>
      <c r="M56" s="23"/>
      <c r="N56" s="23"/>
      <c r="O56" s="23"/>
      <c r="P56" s="23"/>
      <c r="Q56" s="26"/>
      <c r="R56" s="5"/>
      <c r="S56" s="5"/>
      <c r="T56" s="5"/>
      <c r="U56" s="5"/>
      <c r="V56" s="5"/>
      <c r="W56" s="25"/>
      <c r="X56" s="25"/>
      <c r="Y56" s="5"/>
      <c r="Z56" s="5"/>
      <c r="AA56" s="5"/>
      <c r="AB56" s="5"/>
      <c r="AC56" s="5"/>
      <c r="AD56" s="5"/>
      <c r="AE56" s="5"/>
      <c r="AF56" s="5"/>
      <c r="AG56" s="25"/>
      <c r="AH56" s="25"/>
      <c r="AI56" s="25"/>
      <c r="AJ56" s="25"/>
      <c r="AK56" s="25"/>
      <c r="AL56" s="25"/>
      <c r="AM56" s="25"/>
      <c r="AN56" s="26"/>
      <c r="AO56" s="5"/>
      <c r="AP56" s="25"/>
      <c r="AQ56" s="26"/>
      <c r="AR56" s="26"/>
      <c r="AT56" s="5"/>
      <c r="AW56" s="5">
        <v>0.2</v>
      </c>
      <c r="AX56" s="5">
        <v>0.2</v>
      </c>
      <c r="AY56" s="5">
        <v>2.5</v>
      </c>
      <c r="AZ56" s="5">
        <v>1</v>
      </c>
      <c r="BA56" s="39"/>
      <c r="BB56" s="39"/>
    </row>
    <row r="57" spans="8:54" ht="15">
      <c r="H57" s="5"/>
      <c r="I57" s="5"/>
      <c r="J57" s="5"/>
      <c r="K57" s="23"/>
      <c r="L57" s="23"/>
      <c r="M57" s="23"/>
      <c r="N57" s="23"/>
      <c r="O57" s="23"/>
      <c r="P57" s="23"/>
      <c r="Q57" s="26"/>
      <c r="R57" s="5"/>
      <c r="S57" s="5"/>
      <c r="T57" s="5"/>
      <c r="U57" s="5"/>
      <c r="V57" s="5"/>
      <c r="W57" s="25"/>
      <c r="X57" s="25"/>
      <c r="Y57" s="5"/>
      <c r="Z57" s="5"/>
      <c r="AA57" s="5"/>
      <c r="AB57" s="5"/>
      <c r="AC57" s="5"/>
      <c r="AD57" s="5"/>
      <c r="AE57" s="5"/>
      <c r="AF57" s="5"/>
      <c r="AG57" s="25"/>
      <c r="AH57" s="25"/>
      <c r="AI57" s="25"/>
      <c r="AJ57" s="25"/>
      <c r="AK57" s="25"/>
      <c r="AL57" s="25"/>
      <c r="AM57" s="25"/>
      <c r="AN57" s="26"/>
      <c r="AO57" s="5"/>
      <c r="AP57" s="25"/>
      <c r="AQ57" s="26"/>
      <c r="AR57" s="26"/>
      <c r="AT57" s="5"/>
      <c r="AW57" s="5">
        <v>0.2</v>
      </c>
      <c r="AX57" s="5">
        <v>0.2</v>
      </c>
      <c r="AY57" s="5">
        <v>5</v>
      </c>
      <c r="AZ57" s="5">
        <v>1</v>
      </c>
      <c r="BA57" s="39"/>
      <c r="BB57" s="39"/>
    </row>
    <row r="58" spans="8:54" ht="15">
      <c r="H58" s="5"/>
      <c r="I58" s="5"/>
      <c r="J58" s="5"/>
      <c r="K58" s="23"/>
      <c r="L58" s="23"/>
      <c r="M58" s="23"/>
      <c r="N58" s="23"/>
      <c r="O58" s="23"/>
      <c r="P58" s="23"/>
      <c r="Q58" s="26"/>
      <c r="R58" s="5"/>
      <c r="S58" s="5"/>
      <c r="T58" s="5"/>
      <c r="U58" s="5"/>
      <c r="V58" s="5"/>
      <c r="W58" s="25"/>
      <c r="X58" s="25"/>
      <c r="Y58" s="5"/>
      <c r="Z58" s="5"/>
      <c r="AA58" s="5"/>
      <c r="AB58" s="5"/>
      <c r="AC58" s="5"/>
      <c r="AD58" s="5"/>
      <c r="AE58" s="5"/>
      <c r="AF58" s="5"/>
      <c r="AG58" s="25"/>
      <c r="AH58" s="25"/>
      <c r="AI58" s="25"/>
      <c r="AJ58" s="25"/>
      <c r="AK58" s="25"/>
      <c r="AL58" s="25"/>
      <c r="AM58" s="25"/>
      <c r="AN58" s="26"/>
      <c r="AO58" s="5"/>
      <c r="AP58" s="25"/>
      <c r="AQ58" s="26"/>
      <c r="AR58" s="26"/>
      <c r="AT58" s="5"/>
      <c r="AW58" s="5">
        <v>0.2</v>
      </c>
      <c r="AX58" s="5">
        <v>0.2</v>
      </c>
      <c r="AY58" s="5">
        <v>7.5</v>
      </c>
      <c r="AZ58" s="5">
        <v>1</v>
      </c>
      <c r="BA58" s="39"/>
      <c r="BB58" s="39"/>
    </row>
    <row r="59" spans="8:54" ht="15">
      <c r="H59" s="5"/>
      <c r="I59" s="5"/>
      <c r="J59" s="5"/>
      <c r="K59" s="23"/>
      <c r="L59" s="23"/>
      <c r="M59" s="23"/>
      <c r="N59" s="23"/>
      <c r="O59" s="23"/>
      <c r="P59" s="23"/>
      <c r="Q59" s="26"/>
      <c r="R59" s="5"/>
      <c r="S59" s="5"/>
      <c r="T59" s="5"/>
      <c r="U59" s="5"/>
      <c r="V59" s="5"/>
      <c r="W59" s="25"/>
      <c r="X59" s="25"/>
      <c r="Y59" s="5"/>
      <c r="Z59" s="5"/>
      <c r="AA59" s="5"/>
      <c r="AB59" s="5"/>
      <c r="AC59" s="5"/>
      <c r="AD59" s="5"/>
      <c r="AE59" s="5"/>
      <c r="AF59" s="5"/>
      <c r="AG59" s="25"/>
      <c r="AH59" s="25"/>
      <c r="AI59" s="25"/>
      <c r="AJ59" s="25"/>
      <c r="AK59" s="25"/>
      <c r="AL59" s="25"/>
      <c r="AM59" s="25"/>
      <c r="AN59" s="26"/>
      <c r="AO59" s="5"/>
      <c r="AP59" s="25"/>
      <c r="AQ59" s="26"/>
      <c r="AR59" s="26"/>
      <c r="AT59" s="5"/>
      <c r="BB59" s="39"/>
    </row>
    <row r="60" spans="8:53" ht="15">
      <c r="H60" s="5"/>
      <c r="I60" s="5"/>
      <c r="J60" s="5"/>
      <c r="K60" s="23"/>
      <c r="L60" s="23"/>
      <c r="M60" s="23"/>
      <c r="N60" s="23"/>
      <c r="O60" s="23"/>
      <c r="P60" s="23"/>
      <c r="Q60" s="26"/>
      <c r="R60" s="5"/>
      <c r="S60" s="5"/>
      <c r="T60" s="5"/>
      <c r="U60" s="5"/>
      <c r="V60" s="5"/>
      <c r="W60" s="25"/>
      <c r="X60" s="25"/>
      <c r="Y60" s="5"/>
      <c r="Z60" s="5"/>
      <c r="AA60" s="5"/>
      <c r="AB60" s="5"/>
      <c r="AC60" s="5"/>
      <c r="AD60" s="5"/>
      <c r="AE60" s="5"/>
      <c r="AF60" s="5"/>
      <c r="AG60" s="25"/>
      <c r="AH60" s="25"/>
      <c r="AI60" s="25"/>
      <c r="AJ60" s="25"/>
      <c r="AK60" s="25"/>
      <c r="AL60" s="25"/>
      <c r="AM60" s="25"/>
      <c r="AN60" s="26"/>
      <c r="AO60" s="5"/>
      <c r="AP60" s="25"/>
      <c r="AQ60" s="26"/>
      <c r="AR60" s="26"/>
      <c r="AT60" s="5"/>
      <c r="AV60" s="1" t="s">
        <v>115</v>
      </c>
      <c r="AX60" s="5">
        <v>0.5</v>
      </c>
      <c r="AY60" s="5">
        <v>2.5</v>
      </c>
      <c r="AZ60" s="5">
        <v>5</v>
      </c>
      <c r="BA60" s="5">
        <v>7.5</v>
      </c>
    </row>
    <row r="61" spans="8:46" ht="15">
      <c r="H61" s="5"/>
      <c r="I61" s="5"/>
      <c r="J61" s="5"/>
      <c r="K61" s="23"/>
      <c r="L61" s="23"/>
      <c r="M61" s="23"/>
      <c r="N61" s="23"/>
      <c r="O61" s="23"/>
      <c r="P61" s="23"/>
      <c r="Q61" s="26"/>
      <c r="R61" s="5"/>
      <c r="S61" s="5"/>
      <c r="T61" s="5"/>
      <c r="U61" s="5"/>
      <c r="V61" s="5"/>
      <c r="W61" s="25"/>
      <c r="X61" s="25"/>
      <c r="Y61" s="5"/>
      <c r="Z61" s="5"/>
      <c r="AA61" s="5"/>
      <c r="AB61" s="5"/>
      <c r="AC61" s="5"/>
      <c r="AD61" s="5"/>
      <c r="AE61" s="5"/>
      <c r="AF61" s="5"/>
      <c r="AG61" s="25"/>
      <c r="AH61" s="25"/>
      <c r="AI61" s="25"/>
      <c r="AJ61" s="25"/>
      <c r="AK61" s="25"/>
      <c r="AL61" s="25"/>
      <c r="AM61" s="25"/>
      <c r="AN61" s="26"/>
      <c r="AO61" s="5"/>
      <c r="AP61" s="25"/>
      <c r="AQ61" s="26"/>
      <c r="AR61" s="26"/>
      <c r="AT61" s="5"/>
    </row>
    <row r="62" spans="8:53" ht="15">
      <c r="H62" s="5"/>
      <c r="I62" s="5"/>
      <c r="J62" s="5"/>
      <c r="K62" s="23"/>
      <c r="L62" s="23"/>
      <c r="M62" s="23"/>
      <c r="N62" s="23"/>
      <c r="O62" s="23"/>
      <c r="P62" s="23"/>
      <c r="Q62" s="26"/>
      <c r="R62" s="5"/>
      <c r="S62" s="5"/>
      <c r="T62" s="5"/>
      <c r="U62" s="5"/>
      <c r="V62" s="5"/>
      <c r="W62" s="25"/>
      <c r="X62" s="25"/>
      <c r="Y62" s="5"/>
      <c r="Z62" s="5"/>
      <c r="AA62" s="5"/>
      <c r="AB62" s="5"/>
      <c r="AC62" s="5"/>
      <c r="AD62" s="5"/>
      <c r="AE62" s="5"/>
      <c r="AF62" s="5"/>
      <c r="AG62" s="25"/>
      <c r="AH62" s="25"/>
      <c r="AI62" s="25"/>
      <c r="AJ62" s="25"/>
      <c r="AK62" s="25"/>
      <c r="AL62" s="25"/>
      <c r="AM62" s="25"/>
      <c r="AN62" s="26"/>
      <c r="AO62" s="5"/>
      <c r="AP62" s="25"/>
      <c r="AQ62" s="26"/>
      <c r="AR62" s="26"/>
      <c r="AT62" s="5"/>
      <c r="AV62" s="5" t="s">
        <v>25</v>
      </c>
      <c r="AW62" s="5"/>
      <c r="AX62" s="5">
        <v>0.12852000000000002</v>
      </c>
      <c r="AY62" s="5">
        <v>0.13732</v>
      </c>
      <c r="AZ62" s="5">
        <v>0.14832</v>
      </c>
      <c r="BA62" s="5">
        <v>0.15932000000000002</v>
      </c>
    </row>
    <row r="63" spans="8:53" ht="15">
      <c r="H63" s="5"/>
      <c r="I63" s="5"/>
      <c r="J63" s="5"/>
      <c r="K63" s="23"/>
      <c r="L63" s="23"/>
      <c r="M63" s="23"/>
      <c r="N63" s="23"/>
      <c r="O63" s="23"/>
      <c r="P63" s="23"/>
      <c r="Q63" s="26"/>
      <c r="R63" s="5"/>
      <c r="S63" s="5"/>
      <c r="T63" s="5"/>
      <c r="U63" s="5"/>
      <c r="V63" s="5"/>
      <c r="W63" s="25"/>
      <c r="X63" s="25"/>
      <c r="Y63" s="5"/>
      <c r="Z63" s="5"/>
      <c r="AA63" s="5"/>
      <c r="AB63" s="5"/>
      <c r="AC63" s="5"/>
      <c r="AD63" s="5"/>
      <c r="AE63" s="5"/>
      <c r="AF63" s="5"/>
      <c r="AG63" s="25"/>
      <c r="AH63" s="25"/>
      <c r="AI63" s="25"/>
      <c r="AJ63" s="25"/>
      <c r="AK63" s="25"/>
      <c r="AL63" s="25"/>
      <c r="AM63" s="25"/>
      <c r="AN63" s="26"/>
      <c r="AO63" s="5"/>
      <c r="AP63" s="25"/>
      <c r="AQ63" s="26"/>
      <c r="AR63" s="26"/>
      <c r="AT63" s="5"/>
      <c r="AV63" s="5" t="s">
        <v>26</v>
      </c>
      <c r="AW63" s="5"/>
      <c r="AX63" s="5">
        <v>0.3013335139072</v>
      </c>
      <c r="AY63" s="5">
        <v>0.3208775473152</v>
      </c>
      <c r="AZ63" s="5">
        <v>0.3459750056751999</v>
      </c>
      <c r="BA63" s="5">
        <v>0.37181403803519997</v>
      </c>
    </row>
    <row r="64" spans="6:53" ht="15">
      <c r="F64" s="5"/>
      <c r="G64" s="5"/>
      <c r="H64" s="5"/>
      <c r="I64" s="5"/>
      <c r="J64" s="5"/>
      <c r="K64" s="5"/>
      <c r="M64" s="23"/>
      <c r="N64" s="23"/>
      <c r="O64" s="23"/>
      <c r="P64" s="23"/>
      <c r="Q64" s="26"/>
      <c r="R64" s="5"/>
      <c r="S64" s="5"/>
      <c r="T64" s="5"/>
      <c r="U64" s="5"/>
      <c r="V64" s="5"/>
      <c r="W64" s="25"/>
      <c r="X64" s="25"/>
      <c r="Y64" s="5"/>
      <c r="Z64" s="5"/>
      <c r="AA64" s="5"/>
      <c r="AB64" s="5"/>
      <c r="AC64" s="5"/>
      <c r="AD64" s="5"/>
      <c r="AE64" s="5"/>
      <c r="AF64" s="5"/>
      <c r="AG64" s="25"/>
      <c r="AH64" s="25"/>
      <c r="AI64" s="25"/>
      <c r="AJ64" s="25"/>
      <c r="AK64" s="25"/>
      <c r="AL64" s="25"/>
      <c r="AM64" s="25"/>
      <c r="AN64" s="26"/>
      <c r="AO64" s="5"/>
      <c r="AP64" s="25"/>
      <c r="AQ64" s="26"/>
      <c r="AR64" s="26"/>
      <c r="AT64" s="5"/>
      <c r="AV64" s="5" t="s">
        <v>85</v>
      </c>
      <c r="AW64" s="5"/>
      <c r="AX64" s="5">
        <v>0.4200449539072</v>
      </c>
      <c r="AY64" s="5">
        <v>0.48212498731520004</v>
      </c>
      <c r="AZ64" s="5">
        <v>0.5603924456751999</v>
      </c>
      <c r="BA64" s="5">
        <v>0.6394014780351999</v>
      </c>
    </row>
    <row r="65" spans="1:53" ht="15">
      <c r="A65" s="23"/>
      <c r="B65" s="5"/>
      <c r="C65" s="23"/>
      <c r="F65" s="5"/>
      <c r="G65" s="5"/>
      <c r="K65" s="42"/>
      <c r="L65" s="42"/>
      <c r="M65" s="23"/>
      <c r="N65" s="23"/>
      <c r="O65" s="23"/>
      <c r="P65" s="23"/>
      <c r="Q65" s="26"/>
      <c r="R65" s="5"/>
      <c r="S65" s="5"/>
      <c r="T65" s="5"/>
      <c r="U65" s="5"/>
      <c r="V65" s="5"/>
      <c r="W65" s="25"/>
      <c r="X65" s="25"/>
      <c r="Y65" s="5"/>
      <c r="Z65" s="5"/>
      <c r="AA65" s="5"/>
      <c r="AB65" s="5"/>
      <c r="AC65" s="5"/>
      <c r="AD65" s="5"/>
      <c r="AE65" s="5"/>
      <c r="AF65" s="5"/>
      <c r="AG65" s="25"/>
      <c r="AH65" s="25"/>
      <c r="AI65" s="25"/>
      <c r="AJ65" s="25"/>
      <c r="AK65" s="25"/>
      <c r="AL65" s="25"/>
      <c r="AM65" s="25"/>
      <c r="AN65" s="26"/>
      <c r="AO65" s="5"/>
      <c r="AP65" s="25"/>
      <c r="AQ65" s="26"/>
      <c r="AR65" s="26"/>
      <c r="AT65" s="5"/>
      <c r="AV65" s="5" t="s">
        <v>86</v>
      </c>
      <c r="AW65" s="5"/>
      <c r="AX65" s="5">
        <v>0.1531659417203421</v>
      </c>
      <c r="AY65" s="5">
        <v>0.1988739250668552</v>
      </c>
      <c r="AZ65" s="5">
        <v>0.27628965250504267</v>
      </c>
      <c r="BA65" s="5">
        <v>0.38320402041341184</v>
      </c>
    </row>
    <row r="66" spans="1:53" ht="15">
      <c r="A66" s="23"/>
      <c r="B66" s="5"/>
      <c r="C66" s="23"/>
      <c r="E66" s="5"/>
      <c r="F66" s="5"/>
      <c r="G66" s="5"/>
      <c r="K66" s="42"/>
      <c r="L66" s="42"/>
      <c r="M66" s="23"/>
      <c r="N66" s="23"/>
      <c r="O66" s="23"/>
      <c r="P66" s="23"/>
      <c r="Q66" s="26"/>
      <c r="R66" s="5"/>
      <c r="S66" s="5"/>
      <c r="T66" s="5"/>
      <c r="U66" s="5"/>
      <c r="V66" s="5"/>
      <c r="W66" s="25"/>
      <c r="X66" s="25"/>
      <c r="Y66" s="5"/>
      <c r="Z66" s="5"/>
      <c r="AA66" s="5"/>
      <c r="AB66" s="5"/>
      <c r="AC66" s="5"/>
      <c r="AD66" s="5"/>
      <c r="AE66" s="5"/>
      <c r="AF66" s="5"/>
      <c r="AG66" s="25"/>
      <c r="AH66" s="25"/>
      <c r="AI66" s="25"/>
      <c r="AJ66" s="25"/>
      <c r="AK66" s="25"/>
      <c r="AL66" s="25"/>
      <c r="AM66" s="25"/>
      <c r="AN66" s="26"/>
      <c r="AO66" s="5"/>
      <c r="AP66" s="25"/>
      <c r="AQ66" s="26"/>
      <c r="AR66" s="26"/>
      <c r="AT66" s="5"/>
      <c r="AV66" s="5" t="s">
        <v>87</v>
      </c>
      <c r="AW66" s="5"/>
      <c r="AX66" s="5">
        <v>4.479009982277013</v>
      </c>
      <c r="AY66" s="5">
        <v>4.496886680942812</v>
      </c>
      <c r="AZ66" s="5">
        <v>4.506184076637175</v>
      </c>
      <c r="BA66" s="5">
        <v>4.50360716418373</v>
      </c>
    </row>
    <row r="67" spans="1:53" ht="15">
      <c r="A67" s="23"/>
      <c r="B67" s="5"/>
      <c r="C67" s="23"/>
      <c r="E67" s="5"/>
      <c r="F67" s="5"/>
      <c r="G67" s="5"/>
      <c r="K67" s="42"/>
      <c r="L67" s="42"/>
      <c r="M67" s="23"/>
      <c r="N67" s="23"/>
      <c r="O67" s="23"/>
      <c r="P67" s="23"/>
      <c r="Q67" s="26"/>
      <c r="R67" s="5"/>
      <c r="S67" s="5"/>
      <c r="T67" s="5"/>
      <c r="U67" s="5"/>
      <c r="V67" s="5"/>
      <c r="W67" s="25"/>
      <c r="X67" s="25"/>
      <c r="Y67" s="5"/>
      <c r="Z67" s="5"/>
      <c r="AA67" s="5"/>
      <c r="AB67" s="5"/>
      <c r="AC67" s="5"/>
      <c r="AD67" s="5"/>
      <c r="AE67" s="5"/>
      <c r="AF67" s="5"/>
      <c r="AG67" s="25"/>
      <c r="AH67" s="25"/>
      <c r="AI67" s="25"/>
      <c r="AJ67" s="25"/>
      <c r="AK67" s="25"/>
      <c r="AL67" s="25"/>
      <c r="AM67" s="25"/>
      <c r="AN67" s="26"/>
      <c r="AO67" s="5"/>
      <c r="AP67" s="25"/>
      <c r="AQ67" s="26"/>
      <c r="AR67" s="26"/>
      <c r="AT67" s="5"/>
      <c r="AV67" s="5" t="s">
        <v>88</v>
      </c>
      <c r="AW67" s="5"/>
      <c r="AX67" s="5">
        <v>5.19597640674221</v>
      </c>
      <c r="AY67" s="5">
        <v>12.141446393783953</v>
      </c>
      <c r="AZ67" s="5">
        <v>26.775805826090828</v>
      </c>
      <c r="BA67" s="5">
        <v>49.55442227177873</v>
      </c>
    </row>
    <row r="68" spans="1:53" ht="15">
      <c r="A68" s="23"/>
      <c r="C68" s="23"/>
      <c r="E68" s="5"/>
      <c r="F68" s="5"/>
      <c r="G68" s="5"/>
      <c r="K68" s="42"/>
      <c r="L68" s="42"/>
      <c r="M68" s="23"/>
      <c r="N68" s="23"/>
      <c r="O68" s="23"/>
      <c r="P68" s="23"/>
      <c r="Q68" s="26"/>
      <c r="R68" s="5"/>
      <c r="S68" s="5"/>
      <c r="T68" s="5"/>
      <c r="U68" s="5"/>
      <c r="V68" s="5"/>
      <c r="W68" s="25"/>
      <c r="X68" s="25"/>
      <c r="Y68" s="5"/>
      <c r="Z68" s="5"/>
      <c r="AA68" s="5"/>
      <c r="AB68" s="5"/>
      <c r="AC68" s="5"/>
      <c r="AD68" s="5"/>
      <c r="AE68" s="5"/>
      <c r="AF68" s="5"/>
      <c r="AG68" s="25"/>
      <c r="AH68" s="25"/>
      <c r="AI68" s="25"/>
      <c r="AJ68" s="25"/>
      <c r="AK68" s="25"/>
      <c r="AL68" s="25"/>
      <c r="AM68" s="25"/>
      <c r="AN68" s="26"/>
      <c r="AO68" s="5"/>
      <c r="AP68" s="25"/>
      <c r="AQ68" s="26"/>
      <c r="AR68" s="26"/>
      <c r="AV68" s="5" t="s">
        <v>89</v>
      </c>
      <c r="AW68" s="5"/>
      <c r="AX68" s="5">
        <v>9.955923507520005</v>
      </c>
      <c r="AY68" s="5">
        <v>7.144634195520002</v>
      </c>
      <c r="AZ68" s="5">
        <v>3.630522555520006</v>
      </c>
      <c r="BA68" s="5">
        <v>0.1164109155200066</v>
      </c>
    </row>
    <row r="69" spans="1:53" ht="15">
      <c r="A69" s="23"/>
      <c r="C69" s="23"/>
      <c r="E69" s="5"/>
      <c r="F69" s="5"/>
      <c r="G69" s="5"/>
      <c r="K69" s="42"/>
      <c r="L69" s="42"/>
      <c r="M69" s="23"/>
      <c r="N69" s="23"/>
      <c r="O69" s="23"/>
      <c r="P69" s="23"/>
      <c r="Q69" s="26"/>
      <c r="R69" s="5"/>
      <c r="S69" s="5"/>
      <c r="T69" s="5"/>
      <c r="U69" s="5"/>
      <c r="V69" s="5"/>
      <c r="W69" s="25"/>
      <c r="X69" s="25"/>
      <c r="Y69" s="5"/>
      <c r="Z69" s="5"/>
      <c r="AA69" s="5"/>
      <c r="AB69" s="5"/>
      <c r="AC69" s="5"/>
      <c r="AD69" s="5"/>
      <c r="AE69" s="5"/>
      <c r="AF69" s="5"/>
      <c r="AG69" s="25"/>
      <c r="AH69" s="25"/>
      <c r="AI69" s="25"/>
      <c r="AJ69" s="25"/>
      <c r="AK69" s="25"/>
      <c r="AL69" s="25"/>
      <c r="AM69" s="25"/>
      <c r="AN69" s="26"/>
      <c r="AO69" s="5"/>
      <c r="AP69" s="25"/>
      <c r="AQ69" s="26"/>
      <c r="AR69" s="26"/>
      <c r="AV69" s="5" t="s">
        <v>116</v>
      </c>
      <c r="AW69" s="5"/>
      <c r="AX69" s="5">
        <v>0.17281351390719996</v>
      </c>
      <c r="AY69" s="5">
        <v>0.18355754731520002</v>
      </c>
      <c r="AZ69" s="5">
        <v>0.1976550056751999</v>
      </c>
      <c r="BA69" s="5">
        <v>0.21249403803519995</v>
      </c>
    </row>
    <row r="70" spans="1:44" ht="15">
      <c r="A70" s="23"/>
      <c r="C70" s="23"/>
      <c r="E70" s="5"/>
      <c r="F70" s="5"/>
      <c r="G70" s="5"/>
      <c r="K70" s="42"/>
      <c r="L70" s="42"/>
      <c r="M70" s="23"/>
      <c r="N70" s="23"/>
      <c r="O70" s="23"/>
      <c r="P70" s="23"/>
      <c r="Q70" s="26"/>
      <c r="R70" s="5"/>
      <c r="S70" s="5"/>
      <c r="T70" s="5"/>
      <c r="U70" s="5"/>
      <c r="V70" s="5"/>
      <c r="W70" s="25"/>
      <c r="X70" s="25"/>
      <c r="Y70" s="5"/>
      <c r="Z70" s="5"/>
      <c r="AA70" s="5"/>
      <c r="AB70" s="5"/>
      <c r="AC70" s="5"/>
      <c r="AD70" s="5"/>
      <c r="AE70" s="5"/>
      <c r="AF70" s="5"/>
      <c r="AG70" s="25"/>
      <c r="AH70" s="25"/>
      <c r="AI70" s="25"/>
      <c r="AJ70" s="25"/>
      <c r="AK70" s="25"/>
      <c r="AL70" s="25"/>
      <c r="AM70" s="25"/>
      <c r="AN70" s="26"/>
      <c r="AO70" s="5"/>
      <c r="AP70" s="25"/>
      <c r="AQ70" s="26"/>
      <c r="AR70" s="26"/>
    </row>
    <row r="71" spans="1:44" ht="15">
      <c r="A71" s="23"/>
      <c r="C71" s="23"/>
      <c r="E71" s="5"/>
      <c r="F71" s="5"/>
      <c r="G71" s="5"/>
      <c r="K71" s="42"/>
      <c r="L71" s="42"/>
      <c r="M71" s="23"/>
      <c r="N71" s="23"/>
      <c r="O71" s="23"/>
      <c r="P71" s="23"/>
      <c r="Q71" s="26"/>
      <c r="R71" s="5"/>
      <c r="S71" s="5"/>
      <c r="T71" s="5"/>
      <c r="U71" s="5"/>
      <c r="V71" s="5"/>
      <c r="W71" s="25"/>
      <c r="X71" s="25"/>
      <c r="Y71" s="5"/>
      <c r="Z71" s="5"/>
      <c r="AA71" s="5"/>
      <c r="AB71" s="5"/>
      <c r="AC71" s="5"/>
      <c r="AD71" s="5"/>
      <c r="AE71" s="5"/>
      <c r="AF71" s="5"/>
      <c r="AG71" s="25"/>
      <c r="AH71" s="25"/>
      <c r="AI71" s="25"/>
      <c r="AJ71" s="25"/>
      <c r="AK71" s="25"/>
      <c r="AL71" s="25"/>
      <c r="AM71" s="25"/>
      <c r="AN71" s="26"/>
      <c r="AO71" s="5"/>
      <c r="AP71" s="25"/>
      <c r="AQ71" s="26"/>
      <c r="AR71" s="26"/>
    </row>
    <row r="72" spans="1:44" ht="15">
      <c r="A72" s="23"/>
      <c r="C72" s="23"/>
      <c r="E72" s="5"/>
      <c r="F72" s="5"/>
      <c r="G72" s="5"/>
      <c r="K72" s="42"/>
      <c r="L72" s="42"/>
      <c r="M72" s="23"/>
      <c r="N72" s="23"/>
      <c r="O72" s="23"/>
      <c r="P72" s="23"/>
      <c r="Q72" s="26"/>
      <c r="R72" s="5"/>
      <c r="S72" s="5"/>
      <c r="T72" s="5"/>
      <c r="U72" s="5"/>
      <c r="V72" s="5"/>
      <c r="W72" s="25"/>
      <c r="X72" s="25"/>
      <c r="Y72" s="5"/>
      <c r="Z72" s="5"/>
      <c r="AA72" s="5"/>
      <c r="AB72" s="5"/>
      <c r="AC72" s="5"/>
      <c r="AD72" s="5"/>
      <c r="AE72" s="5"/>
      <c r="AF72" s="5"/>
      <c r="AG72" s="25"/>
      <c r="AH72" s="25"/>
      <c r="AI72" s="25"/>
      <c r="AJ72" s="25"/>
      <c r="AK72" s="25"/>
      <c r="AL72" s="25"/>
      <c r="AM72" s="25"/>
      <c r="AN72" s="26"/>
      <c r="AO72" s="5"/>
      <c r="AP72" s="25"/>
      <c r="AQ72" s="26"/>
      <c r="AR72" s="26"/>
    </row>
    <row r="73" spans="1:44" ht="15">
      <c r="A73" s="23"/>
      <c r="C73" s="23"/>
      <c r="E73" s="5"/>
      <c r="F73" s="5"/>
      <c r="G73" s="5"/>
      <c r="K73" s="42"/>
      <c r="L73" s="42"/>
      <c r="M73" s="23"/>
      <c r="N73" s="23"/>
      <c r="O73" s="23"/>
      <c r="P73" s="23"/>
      <c r="Q73" s="26"/>
      <c r="R73" s="5"/>
      <c r="S73" s="5"/>
      <c r="T73" s="5"/>
      <c r="U73" s="5"/>
      <c r="V73" s="5"/>
      <c r="W73" s="25"/>
      <c r="X73" s="25"/>
      <c r="Y73" s="5"/>
      <c r="Z73" s="5"/>
      <c r="AA73" s="5"/>
      <c r="AB73" s="5"/>
      <c r="AC73" s="5"/>
      <c r="AD73" s="5"/>
      <c r="AE73" s="5"/>
      <c r="AF73" s="5"/>
      <c r="AG73" s="25"/>
      <c r="AH73" s="25"/>
      <c r="AI73" s="25"/>
      <c r="AJ73" s="25"/>
      <c r="AK73" s="25"/>
      <c r="AL73" s="25"/>
      <c r="AM73" s="25"/>
      <c r="AN73" s="26"/>
      <c r="AO73" s="5"/>
      <c r="AP73" s="25"/>
      <c r="AQ73" s="26"/>
      <c r="AR73" s="26"/>
    </row>
    <row r="74" spans="1:44" ht="15">
      <c r="A74" s="23"/>
      <c r="C74" s="23"/>
      <c r="E74" s="5"/>
      <c r="F74" s="5"/>
      <c r="G74" s="5"/>
      <c r="K74" s="42"/>
      <c r="L74" s="42"/>
      <c r="M74" s="23"/>
      <c r="N74" s="23"/>
      <c r="O74" s="23"/>
      <c r="P74" s="23"/>
      <c r="Q74" s="26"/>
      <c r="R74" s="5"/>
      <c r="S74" s="5"/>
      <c r="T74" s="5"/>
      <c r="U74" s="5"/>
      <c r="V74" s="5"/>
      <c r="W74" s="25"/>
      <c r="X74" s="25"/>
      <c r="Y74" s="5"/>
      <c r="Z74" s="5"/>
      <c r="AA74" s="5"/>
      <c r="AB74" s="5"/>
      <c r="AC74" s="5"/>
      <c r="AD74" s="5"/>
      <c r="AE74" s="5"/>
      <c r="AF74" s="5"/>
      <c r="AG74" s="25"/>
      <c r="AH74" s="25"/>
      <c r="AI74" s="25"/>
      <c r="AJ74" s="25"/>
      <c r="AK74" s="25"/>
      <c r="AL74" s="25"/>
      <c r="AM74" s="25"/>
      <c r="AN74" s="26"/>
      <c r="AO74" s="5"/>
      <c r="AP74" s="25"/>
      <c r="AQ74" s="26"/>
      <c r="AR74" s="26"/>
    </row>
    <row r="75" spans="1:44" ht="15">
      <c r="A75" s="23"/>
      <c r="B75" s="5"/>
      <c r="C75" s="23"/>
      <c r="E75" s="5"/>
      <c r="F75" s="5"/>
      <c r="G75" s="5"/>
      <c r="K75" s="42"/>
      <c r="L75" s="42"/>
      <c r="M75" s="23"/>
      <c r="N75" s="23"/>
      <c r="O75" s="23"/>
      <c r="P75" s="23"/>
      <c r="Q75" s="26"/>
      <c r="R75" s="5"/>
      <c r="S75" s="5"/>
      <c r="T75" s="5"/>
      <c r="U75" s="5"/>
      <c r="V75" s="5"/>
      <c r="W75" s="25"/>
      <c r="X75" s="25"/>
      <c r="Y75" s="5"/>
      <c r="Z75" s="5"/>
      <c r="AA75" s="5"/>
      <c r="AB75" s="5"/>
      <c r="AC75" s="5"/>
      <c r="AD75" s="5"/>
      <c r="AE75" s="5"/>
      <c r="AF75" s="5"/>
      <c r="AG75" s="25"/>
      <c r="AH75" s="25"/>
      <c r="AI75" s="25"/>
      <c r="AJ75" s="25"/>
      <c r="AK75" s="25"/>
      <c r="AL75" s="25"/>
      <c r="AM75" s="25"/>
      <c r="AN75" s="26"/>
      <c r="AO75" s="5"/>
      <c r="AP75" s="25"/>
      <c r="AQ75" s="26"/>
      <c r="AR75" s="26"/>
    </row>
    <row r="76" spans="3:42" ht="15">
      <c r="C76" s="23"/>
      <c r="D76" s="5"/>
      <c r="E76" s="5"/>
      <c r="F76" s="23"/>
      <c r="G76" s="5"/>
      <c r="H76" s="5"/>
      <c r="I76" s="5"/>
      <c r="J76" s="5"/>
      <c r="K76" s="5"/>
      <c r="L76" s="5"/>
      <c r="M76" s="5"/>
      <c r="N76" s="5"/>
      <c r="P76" s="5"/>
      <c r="Q76" s="5"/>
      <c r="R76" s="5"/>
      <c r="S76" s="5"/>
      <c r="T76" s="26"/>
      <c r="U76" s="5"/>
      <c r="V76" s="5"/>
      <c r="W76" s="5"/>
      <c r="X76" s="5"/>
      <c r="Z76" s="5"/>
      <c r="AB76" s="5"/>
      <c r="AP76" s="5"/>
    </row>
    <row r="77" spans="3:42" ht="15">
      <c r="C77" s="23"/>
      <c r="D77" s="23"/>
      <c r="F77" s="23"/>
      <c r="G77" s="5"/>
      <c r="H77" s="5"/>
      <c r="I77" s="5"/>
      <c r="J77" s="5"/>
      <c r="K77" s="5"/>
      <c r="L77" s="5"/>
      <c r="M77" s="5"/>
      <c r="N77" s="5"/>
      <c r="P77" s="5"/>
      <c r="Q77" s="5"/>
      <c r="R77" s="5"/>
      <c r="S77" s="5"/>
      <c r="T77" s="26"/>
      <c r="U77" s="5"/>
      <c r="V77" s="5"/>
      <c r="W77" s="5"/>
      <c r="X77" s="5"/>
      <c r="Z77" s="5"/>
      <c r="AB77" s="5"/>
      <c r="AP77" s="5"/>
    </row>
    <row r="78" spans="3:42" ht="17.25">
      <c r="C78" s="23"/>
      <c r="D78" s="5"/>
      <c r="F78" s="23"/>
      <c r="G78" s="5"/>
      <c r="H78" s="5"/>
      <c r="I78" s="5"/>
      <c r="J78" s="5"/>
      <c r="K78" s="43"/>
      <c r="L78" s="43"/>
      <c r="M78" s="5"/>
      <c r="N78" s="5"/>
      <c r="O78" s="5"/>
      <c r="S78" s="5"/>
      <c r="T78" s="26"/>
      <c r="U78" s="5"/>
      <c r="V78" s="5"/>
      <c r="W78" s="5"/>
      <c r="X78" s="5"/>
      <c r="Z78" s="5"/>
      <c r="AB78" s="5"/>
      <c r="AP78" s="5"/>
    </row>
    <row r="79" spans="4:42" ht="15">
      <c r="D79" s="23"/>
      <c r="F79" s="23"/>
      <c r="G79" s="5"/>
      <c r="H79" s="5"/>
      <c r="I79" s="5"/>
      <c r="J79" s="5"/>
      <c r="K79" s="5"/>
      <c r="L79" s="5"/>
      <c r="S79" s="5"/>
      <c r="T79" s="26"/>
      <c r="U79" s="5"/>
      <c r="V79" s="5"/>
      <c r="W79" s="5"/>
      <c r="X79" s="5"/>
      <c r="Z79" s="5"/>
      <c r="AB79" s="5"/>
      <c r="AP79" s="5"/>
    </row>
    <row r="80" spans="4:42" ht="15">
      <c r="D80" s="23"/>
      <c r="E80" s="5"/>
      <c r="F80" s="5"/>
      <c r="G80" s="5"/>
      <c r="K80" s="23"/>
      <c r="L80" s="23"/>
      <c r="M80" s="23"/>
      <c r="N80" s="23"/>
      <c r="O80" s="23"/>
      <c r="P80" s="23"/>
      <c r="Q80" s="26"/>
      <c r="R80" s="5"/>
      <c r="S80" s="5"/>
      <c r="T80" s="5"/>
      <c r="U80" s="5"/>
      <c r="V80" s="5"/>
      <c r="W80" s="5"/>
      <c r="X80" s="5"/>
      <c r="Z80" s="5"/>
      <c r="AB80" s="5"/>
      <c r="AP80" s="5"/>
    </row>
    <row r="81" spans="4:42" ht="15">
      <c r="D81" s="23"/>
      <c r="E81" s="5"/>
      <c r="F81" s="5"/>
      <c r="G81" s="5"/>
      <c r="K81" s="23"/>
      <c r="L81" s="23"/>
      <c r="M81" s="23"/>
      <c r="N81" s="23"/>
      <c r="O81" s="23"/>
      <c r="P81" s="23"/>
      <c r="Q81" s="26"/>
      <c r="R81" s="5"/>
      <c r="S81" s="5"/>
      <c r="T81" s="5"/>
      <c r="U81" s="5"/>
      <c r="V81" s="5"/>
      <c r="W81" s="5"/>
      <c r="X81" s="5"/>
      <c r="Z81" s="5"/>
      <c r="AB81" s="5"/>
      <c r="AP81" s="5"/>
    </row>
    <row r="82" spans="4:42" ht="15">
      <c r="D82" s="23"/>
      <c r="E82" s="5"/>
      <c r="F82" s="5"/>
      <c r="G82" s="5"/>
      <c r="K82" s="23"/>
      <c r="L82" s="23"/>
      <c r="M82" s="23"/>
      <c r="N82" s="23"/>
      <c r="O82" s="23"/>
      <c r="P82" s="23"/>
      <c r="Q82" s="26"/>
      <c r="R82" s="5"/>
      <c r="S82" s="5"/>
      <c r="T82" s="5"/>
      <c r="U82" s="5"/>
      <c r="V82" s="5"/>
      <c r="W82" s="5"/>
      <c r="X82" s="5"/>
      <c r="Z82" s="5"/>
      <c r="AB82" s="5"/>
      <c r="AP82" s="5"/>
    </row>
    <row r="83" spans="4:42" ht="15">
      <c r="D83" s="23"/>
      <c r="E83" s="5"/>
      <c r="F83" s="5"/>
      <c r="G83" s="5"/>
      <c r="K83" s="23"/>
      <c r="L83" s="23"/>
      <c r="M83" s="23"/>
      <c r="N83" s="23"/>
      <c r="O83" s="23"/>
      <c r="P83" s="23"/>
      <c r="Q83" s="26"/>
      <c r="R83" s="5"/>
      <c r="S83" s="5"/>
      <c r="T83" s="5"/>
      <c r="U83" s="5"/>
      <c r="V83" s="5"/>
      <c r="W83" s="5"/>
      <c r="X83" s="5"/>
      <c r="Z83" s="5"/>
      <c r="AB83" s="5"/>
      <c r="AP83" s="5"/>
    </row>
    <row r="84" spans="4:42" ht="15">
      <c r="D84" s="23"/>
      <c r="F84" s="5"/>
      <c r="G84" s="5"/>
      <c r="K84" s="23"/>
      <c r="L84" s="23"/>
      <c r="M84" s="23"/>
      <c r="N84" s="23"/>
      <c r="O84" s="23"/>
      <c r="P84" s="23"/>
      <c r="Q84" s="26"/>
      <c r="R84" s="5"/>
      <c r="S84" s="5"/>
      <c r="T84" s="5"/>
      <c r="U84" s="5"/>
      <c r="V84" s="5"/>
      <c r="W84" s="5"/>
      <c r="X84" s="5"/>
      <c r="Z84" s="5"/>
      <c r="AB84" s="5"/>
      <c r="AP84" s="5"/>
    </row>
    <row r="85" spans="4:42" ht="15">
      <c r="D85" s="23"/>
      <c r="F85" s="5"/>
      <c r="G85" s="5"/>
      <c r="K85" s="23"/>
      <c r="L85" s="23"/>
      <c r="M85" s="23"/>
      <c r="N85" s="23"/>
      <c r="O85" s="23"/>
      <c r="P85" s="23"/>
      <c r="Q85" s="26"/>
      <c r="R85" s="5"/>
      <c r="S85" s="5"/>
      <c r="T85" s="5"/>
      <c r="U85" s="5"/>
      <c r="V85" s="5"/>
      <c r="W85" s="5"/>
      <c r="X85" s="5"/>
      <c r="Z85" s="5"/>
      <c r="AB85" s="5"/>
      <c r="AP85" s="5"/>
    </row>
    <row r="86" spans="4:42" ht="15">
      <c r="D86" s="23"/>
      <c r="F86" s="5"/>
      <c r="G86" s="5"/>
      <c r="K86" s="23"/>
      <c r="L86" s="23"/>
      <c r="M86" s="23"/>
      <c r="N86" s="23"/>
      <c r="O86" s="23"/>
      <c r="P86" s="23"/>
      <c r="Q86" s="26"/>
      <c r="R86" s="5"/>
      <c r="S86" s="5"/>
      <c r="T86" s="5"/>
      <c r="U86" s="5"/>
      <c r="V86" s="5"/>
      <c r="W86" s="5"/>
      <c r="X86" s="5"/>
      <c r="Z86" s="5"/>
      <c r="AB86" s="5"/>
      <c r="AP86" s="5"/>
    </row>
    <row r="87" spans="3:42" ht="15">
      <c r="C87" s="5"/>
      <c r="D87" s="23"/>
      <c r="F87" s="5"/>
      <c r="G87" s="5"/>
      <c r="K87" s="23"/>
      <c r="L87" s="23"/>
      <c r="M87" s="23"/>
      <c r="N87" s="23"/>
      <c r="O87" s="23"/>
      <c r="P87" s="23"/>
      <c r="Q87" s="26"/>
      <c r="R87" s="5"/>
      <c r="S87" s="5"/>
      <c r="T87" s="5"/>
      <c r="U87" s="5"/>
      <c r="V87" s="5"/>
      <c r="W87" s="5"/>
      <c r="X87" s="5"/>
      <c r="Z87" s="5"/>
      <c r="AB87" s="5"/>
      <c r="AP87" s="5"/>
    </row>
    <row r="88" spans="3:42" ht="15">
      <c r="C88" s="5"/>
      <c r="D88" s="23"/>
      <c r="F88" s="5"/>
      <c r="G88" s="5"/>
      <c r="K88" s="23"/>
      <c r="L88" s="23"/>
      <c r="M88" s="23"/>
      <c r="N88" s="23"/>
      <c r="O88" s="23"/>
      <c r="P88" s="23"/>
      <c r="Q88" s="26"/>
      <c r="R88" s="5"/>
      <c r="S88" s="5"/>
      <c r="T88" s="5"/>
      <c r="U88" s="5"/>
      <c r="V88" s="5"/>
      <c r="W88" s="5"/>
      <c r="X88" s="5"/>
      <c r="Z88" s="5"/>
      <c r="AB88" s="5"/>
      <c r="AP88" s="5"/>
    </row>
    <row r="89" spans="3:42" ht="15">
      <c r="C89" s="5"/>
      <c r="D89" s="23"/>
      <c r="F89" s="5"/>
      <c r="G89" s="5"/>
      <c r="K89" s="23"/>
      <c r="L89" s="23"/>
      <c r="M89" s="23"/>
      <c r="N89" s="23"/>
      <c r="O89" s="23"/>
      <c r="P89" s="23"/>
      <c r="Q89" s="26"/>
      <c r="R89" s="5"/>
      <c r="S89" s="5"/>
      <c r="T89" s="5"/>
      <c r="U89" s="5"/>
      <c r="V89" s="5"/>
      <c r="W89" s="5"/>
      <c r="X89" s="5"/>
      <c r="Z89" s="5"/>
      <c r="AB89" s="5"/>
      <c r="AP89" s="5"/>
    </row>
    <row r="90" spans="3:42" ht="15">
      <c r="C90" s="5"/>
      <c r="F90" s="5"/>
      <c r="G90" s="5"/>
      <c r="K90" s="23"/>
      <c r="L90" s="23"/>
      <c r="M90" s="23"/>
      <c r="N90" s="23"/>
      <c r="O90" s="23"/>
      <c r="P90" s="23"/>
      <c r="Q90" s="26"/>
      <c r="R90" s="5"/>
      <c r="S90" s="5"/>
      <c r="T90" s="5"/>
      <c r="U90" s="5"/>
      <c r="V90" s="5"/>
      <c r="W90" s="5"/>
      <c r="X90" s="5"/>
      <c r="Z90" s="5"/>
      <c r="AB90" s="5"/>
      <c r="AP90" s="5"/>
    </row>
    <row r="91" spans="3:42" ht="15">
      <c r="C91" s="5"/>
      <c r="D91" s="23"/>
      <c r="F91" s="5"/>
      <c r="G91" s="5"/>
      <c r="K91" s="23"/>
      <c r="L91" s="23"/>
      <c r="M91" s="23"/>
      <c r="N91" s="23"/>
      <c r="O91" s="23"/>
      <c r="P91" s="23"/>
      <c r="Q91" s="26"/>
      <c r="R91" s="5"/>
      <c r="S91" s="5"/>
      <c r="T91" s="5"/>
      <c r="U91" s="5"/>
      <c r="V91" s="5"/>
      <c r="W91" s="5"/>
      <c r="X91" s="5"/>
      <c r="Z91" s="5"/>
      <c r="AB91" s="5"/>
      <c r="AP91" s="5"/>
    </row>
    <row r="92" spans="3:42" ht="15">
      <c r="C92" s="5"/>
      <c r="E92" s="5"/>
      <c r="G92" s="5"/>
      <c r="H92" s="5"/>
      <c r="I92" s="5"/>
      <c r="J92" s="5"/>
      <c r="K92" s="5"/>
      <c r="L92" s="5"/>
      <c r="M92" s="5"/>
      <c r="N92" s="5"/>
      <c r="P92" s="5"/>
      <c r="Q92" s="5"/>
      <c r="R92" s="5"/>
      <c r="S92" s="5"/>
      <c r="T92" s="26"/>
      <c r="U92" s="5"/>
      <c r="V92" s="5"/>
      <c r="W92" s="5"/>
      <c r="X92" s="5"/>
      <c r="Z92" s="5"/>
      <c r="AB92" s="5"/>
      <c r="AP92" s="5"/>
    </row>
    <row r="93" spans="3:42" ht="15">
      <c r="C93" s="5"/>
      <c r="G93" s="5"/>
      <c r="H93" s="5"/>
      <c r="I93" s="5"/>
      <c r="J93" s="5"/>
      <c r="K93" s="5"/>
      <c r="L93" s="5"/>
      <c r="M93" s="5"/>
      <c r="N93" s="5"/>
      <c r="P93" s="5"/>
      <c r="Q93" s="5"/>
      <c r="R93" s="5"/>
      <c r="S93" s="5"/>
      <c r="T93" s="26"/>
      <c r="U93" s="5"/>
      <c r="V93" s="5"/>
      <c r="W93" s="5"/>
      <c r="X93" s="5"/>
      <c r="Z93" s="5"/>
      <c r="AB93" s="5"/>
      <c r="AP93" s="5"/>
    </row>
    <row r="94" spans="3:42" ht="15">
      <c r="C94" s="5"/>
      <c r="G94" s="5"/>
      <c r="H94" s="5"/>
      <c r="I94" s="5"/>
      <c r="J94" s="5"/>
      <c r="K94" s="5"/>
      <c r="L94" s="5"/>
      <c r="M94" s="5"/>
      <c r="N94" s="5"/>
      <c r="P94" s="5"/>
      <c r="Q94" s="5"/>
      <c r="R94" s="5"/>
      <c r="S94" s="5"/>
      <c r="T94" s="26"/>
      <c r="U94" s="5"/>
      <c r="V94" s="5"/>
      <c r="W94" s="5"/>
      <c r="X94" s="5"/>
      <c r="Z94" s="5"/>
      <c r="AB94" s="5"/>
      <c r="AP94" s="5"/>
    </row>
    <row r="95" spans="3:42" ht="15">
      <c r="C95" s="5"/>
      <c r="G95" s="5"/>
      <c r="H95" s="5"/>
      <c r="I95" s="5"/>
      <c r="J95" s="5"/>
      <c r="K95" s="5"/>
      <c r="L95" s="5"/>
      <c r="M95" s="5"/>
      <c r="N95" s="5"/>
      <c r="P95" s="5"/>
      <c r="Q95" s="5"/>
      <c r="R95" s="5"/>
      <c r="S95" s="5"/>
      <c r="T95" s="26"/>
      <c r="U95" s="5"/>
      <c r="V95" s="5"/>
      <c r="W95" s="5"/>
      <c r="X95" s="5"/>
      <c r="Z95" s="5"/>
      <c r="AB95" s="5"/>
      <c r="AP95" s="5"/>
    </row>
    <row r="96" spans="3:42" ht="15">
      <c r="C96" s="5"/>
      <c r="G96" s="5"/>
      <c r="H96" s="5"/>
      <c r="I96" s="5"/>
      <c r="J96" s="5"/>
      <c r="K96" s="5"/>
      <c r="L96" s="5"/>
      <c r="M96" s="5"/>
      <c r="N96" s="5"/>
      <c r="P96" s="5"/>
      <c r="Q96" s="5"/>
      <c r="R96" s="5"/>
      <c r="S96" s="5"/>
      <c r="T96" s="26"/>
      <c r="U96" s="5"/>
      <c r="V96" s="5"/>
      <c r="W96" s="5"/>
      <c r="X96" s="5"/>
      <c r="Z96" s="5"/>
      <c r="AB96" s="5"/>
      <c r="AP96" s="5"/>
    </row>
    <row r="97" spans="7:42" ht="15">
      <c r="G97" s="5"/>
      <c r="H97" s="5"/>
      <c r="I97" s="5"/>
      <c r="J97" s="5"/>
      <c r="K97" s="5"/>
      <c r="L97" s="5"/>
      <c r="M97" s="5"/>
      <c r="N97" s="5"/>
      <c r="P97" s="5"/>
      <c r="Q97" s="5"/>
      <c r="R97" s="5"/>
      <c r="S97" s="5"/>
      <c r="T97" s="26"/>
      <c r="U97" s="5"/>
      <c r="V97" s="5"/>
      <c r="W97" s="5"/>
      <c r="X97" s="5"/>
      <c r="Z97" s="5"/>
      <c r="AB97" s="5"/>
      <c r="AP97" s="5"/>
    </row>
    <row r="98" ht="15">
      <c r="AP98" s="5"/>
    </row>
    <row r="99" ht="15">
      <c r="AP99" s="5"/>
    </row>
    <row r="100" ht="15">
      <c r="AP100" s="5"/>
    </row>
    <row r="101" ht="15">
      <c r="AP101" s="5"/>
    </row>
    <row r="102" ht="15">
      <c r="AP102" s="5"/>
    </row>
    <row r="103" ht="15">
      <c r="AP103" s="5"/>
    </row>
    <row r="105" ht="15">
      <c r="AP105" s="5"/>
    </row>
    <row r="107" spans="9:29" ht="15">
      <c r="I107" s="5"/>
      <c r="J107" s="5"/>
      <c r="K107" s="5"/>
      <c r="L107" s="5"/>
      <c r="M107" s="5"/>
      <c r="N107" s="5"/>
      <c r="W107" s="5"/>
      <c r="X107" s="5"/>
      <c r="Y107" s="5"/>
      <c r="Z107" s="5"/>
      <c r="AA107" s="5"/>
      <c r="AB107" s="5"/>
      <c r="AC107" s="5"/>
    </row>
    <row r="108" spans="9:29" ht="15">
      <c r="I108" s="5"/>
      <c r="J108" s="5"/>
      <c r="K108" s="5"/>
      <c r="L108" s="5"/>
      <c r="M108" s="5"/>
      <c r="N108" s="5"/>
      <c r="W108" s="5"/>
      <c r="X108" s="5"/>
      <c r="Y108" s="5"/>
      <c r="Z108" s="5"/>
      <c r="AA108" s="5"/>
      <c r="AB108" s="5"/>
      <c r="AC108" s="5"/>
    </row>
    <row r="109" spans="9:29" ht="15">
      <c r="I109" s="5"/>
      <c r="J109" s="5"/>
      <c r="K109" s="5"/>
      <c r="L109" s="5"/>
      <c r="M109" s="5"/>
      <c r="N109" s="5"/>
      <c r="W109" s="5"/>
      <c r="X109" s="5"/>
      <c r="Y109" s="5"/>
      <c r="Z109" s="5"/>
      <c r="AA109" s="5"/>
      <c r="AB109" s="5"/>
      <c r="AC109" s="5"/>
    </row>
    <row r="110" spans="9:29" ht="15">
      <c r="I110" s="5"/>
      <c r="J110" s="5"/>
      <c r="K110" s="5"/>
      <c r="L110" s="5"/>
      <c r="M110" s="5"/>
      <c r="N110" s="5"/>
      <c r="W110" s="5"/>
      <c r="X110" s="5"/>
      <c r="Y110" s="5"/>
      <c r="Z110" s="5"/>
      <c r="AA110" s="5"/>
      <c r="AB110" s="5"/>
      <c r="AC110" s="5"/>
    </row>
    <row r="111" spans="9:29" ht="15">
      <c r="I111" s="5"/>
      <c r="J111" s="5"/>
      <c r="K111" s="5"/>
      <c r="L111" s="5"/>
      <c r="M111" s="5"/>
      <c r="N111" s="5"/>
      <c r="W111" s="5"/>
      <c r="X111" s="5"/>
      <c r="Y111" s="5"/>
      <c r="Z111" s="5"/>
      <c r="AA111" s="5"/>
      <c r="AB111" s="5"/>
      <c r="AC111" s="5"/>
    </row>
    <row r="112" spans="9:29" ht="15">
      <c r="I112" s="5"/>
      <c r="J112" s="5"/>
      <c r="K112" s="5"/>
      <c r="L112" s="5"/>
      <c r="M112" s="5"/>
      <c r="N112" s="5"/>
      <c r="W112" s="5"/>
      <c r="X112" s="5"/>
      <c r="Y112" s="5"/>
      <c r="Z112" s="5"/>
      <c r="AA112" s="5"/>
      <c r="AB112" s="5"/>
      <c r="AC112" s="5"/>
    </row>
    <row r="113" spans="9:29" ht="15">
      <c r="I113" s="5"/>
      <c r="J113" s="5"/>
      <c r="K113" s="5"/>
      <c r="L113" s="5"/>
      <c r="M113" s="5"/>
      <c r="N113" s="5"/>
      <c r="W113" s="5"/>
      <c r="X113" s="5"/>
      <c r="Y113" s="5"/>
      <c r="Z113" s="5"/>
      <c r="AA113" s="5"/>
      <c r="AB113" s="5"/>
      <c r="AC113" s="5"/>
    </row>
    <row r="114" spans="9:29" ht="15">
      <c r="I114" s="5"/>
      <c r="J114" s="5"/>
      <c r="K114" s="5"/>
      <c r="L114" s="5"/>
      <c r="M114" s="5"/>
      <c r="N114" s="5"/>
      <c r="W114" s="5"/>
      <c r="X114" s="5"/>
      <c r="Y114" s="5"/>
      <c r="Z114" s="5"/>
      <c r="AA114" s="5"/>
      <c r="AB114" s="5"/>
      <c r="AC114" s="5"/>
    </row>
    <row r="115" spans="9:29" ht="15">
      <c r="I115" s="5"/>
      <c r="J115" s="5"/>
      <c r="K115" s="5"/>
      <c r="L115" s="5"/>
      <c r="M115" s="5"/>
      <c r="N115" s="5"/>
      <c r="W115" s="5"/>
      <c r="X115" s="5"/>
      <c r="Y115" s="5"/>
      <c r="Z115" s="5"/>
      <c r="AA115" s="5"/>
      <c r="AB115" s="5"/>
      <c r="AC115" s="5"/>
    </row>
    <row r="116" spans="9:29" ht="15">
      <c r="I116" s="5"/>
      <c r="J116" s="5"/>
      <c r="K116" s="5"/>
      <c r="L116" s="5"/>
      <c r="M116" s="5"/>
      <c r="N116" s="5"/>
      <c r="W116" s="5"/>
      <c r="X116" s="5"/>
      <c r="Y116" s="5"/>
      <c r="Z116" s="5"/>
      <c r="AA116" s="5"/>
      <c r="AB116" s="5"/>
      <c r="AC116" s="5"/>
    </row>
    <row r="117" spans="9:29" ht="15">
      <c r="I117" s="5"/>
      <c r="J117" s="5"/>
      <c r="K117" s="5"/>
      <c r="L117" s="5"/>
      <c r="M117" s="5"/>
      <c r="N117" s="5"/>
      <c r="W117" s="5"/>
      <c r="X117" s="5"/>
      <c r="Y117" s="5"/>
      <c r="Z117" s="5"/>
      <c r="AA117" s="5"/>
      <c r="AB117" s="5"/>
      <c r="AC117" s="5"/>
    </row>
    <row r="118" spans="9:29" ht="15">
      <c r="I118" s="5"/>
      <c r="J118" s="5"/>
      <c r="K118" s="5"/>
      <c r="L118" s="5"/>
      <c r="M118" s="5"/>
      <c r="N118" s="5"/>
      <c r="W118" s="5"/>
      <c r="X118" s="5"/>
      <c r="Y118" s="5"/>
      <c r="Z118" s="5"/>
      <c r="AA118" s="5"/>
      <c r="AB118" s="5"/>
      <c r="AC118" s="5"/>
    </row>
    <row r="119" spans="9:29" ht="15">
      <c r="I119" s="5"/>
      <c r="J119" s="5"/>
      <c r="K119" s="5"/>
      <c r="L119" s="5"/>
      <c r="M119" s="5"/>
      <c r="N119" s="5"/>
      <c r="W119" s="5"/>
      <c r="X119" s="5"/>
      <c r="Y119" s="5"/>
      <c r="Z119" s="5"/>
      <c r="AA119" s="5"/>
      <c r="AB119" s="5"/>
      <c r="AC119" s="5"/>
    </row>
    <row r="120" spans="9:29" ht="15">
      <c r="I120" s="5"/>
      <c r="J120" s="5"/>
      <c r="K120" s="5"/>
      <c r="L120" s="5"/>
      <c r="M120" s="5"/>
      <c r="N120" s="5"/>
      <c r="W120" s="5"/>
      <c r="X120" s="5"/>
      <c r="Y120" s="5"/>
      <c r="Z120" s="5"/>
      <c r="AA120" s="5"/>
      <c r="AB120" s="5"/>
      <c r="AC120" s="5"/>
    </row>
    <row r="121" spans="9:24" ht="15">
      <c r="I121" s="5"/>
      <c r="W121" s="44"/>
      <c r="X121" s="44"/>
    </row>
  </sheetData>
  <sheetProtection sheet="1" objects="1" scenarios="1" selectLockedCells="1" selectUnlockedCells="1"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2005-10-05T20:44:33Z</dcterms:created>
  <dcterms:modified xsi:type="dcterms:W3CDTF">2007-04-25T21:11:43Z</dcterms:modified>
  <cp:category/>
  <cp:version/>
  <cp:contentType/>
  <cp:contentStatus/>
</cp:coreProperties>
</file>