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12.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Thomas.Trout\Documents\Draft Papers\Trout Econ Model AgronJ19\"/>
    </mc:Choice>
  </mc:AlternateContent>
  <xr:revisionPtr revIDLastSave="0" documentId="13_ncr:1_{810091C6-A87B-425C-B8AE-D21BB6D60C4F}" xr6:coauthVersionLast="41" xr6:coauthVersionMax="41" xr10:uidLastSave="{00000000-0000-0000-0000-000000000000}"/>
  <bookViews>
    <workbookView xWindow="960" yWindow="75" windowWidth="16875" windowHeight="17190" xr2:uid="{00000000-000D-0000-FFFF-FFFF00000000}"/>
  </bookViews>
  <sheets>
    <sheet name="Notes" sheetId="3" r:id="rId1"/>
    <sheet name="WPF Model" sheetId="2" r:id="rId2"/>
    <sheet name="IrrReq" sheetId="4" r:id="rId3"/>
    <sheet name="EconModel" sheetId="6" r:id="rId4"/>
    <sheet name="EconModel II" sheetId="11" r:id="rId5"/>
    <sheet name="PriceSens" sheetId="7" r:id="rId6"/>
  </sheets>
  <definedNames>
    <definedName name="solver_adj" localSheetId="5" hidden="1">PriceSens!#REF!</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lhs1" localSheetId="5" hidden="1">PriceSens!#REF!</definedName>
    <definedName name="solver_lhs2" localSheetId="5" hidden="1">PriceSens!#REF!</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2</definedName>
    <definedName name="solver_nwt" localSheetId="5" hidden="1">1</definedName>
    <definedName name="solver_opt" localSheetId="5" hidden="1">PriceSens!#REF!</definedName>
    <definedName name="solver_pre" localSheetId="5" hidden="1">0.000001</definedName>
    <definedName name="solver_rbv" localSheetId="5" hidden="1">1</definedName>
    <definedName name="solver_rel1" localSheetId="5" hidden="1">1</definedName>
    <definedName name="solver_rel2" localSheetId="5" hidden="1">3</definedName>
    <definedName name="solver_rhs1" localSheetId="5" hidden="1">1</definedName>
    <definedName name="solver_rhs2" localSheetId="5" hidden="1">0</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1</definedName>
    <definedName name="solver_val" localSheetId="5" hidden="1">0</definedName>
    <definedName name="solver_ver" localSheetId="5" hidden="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7" l="1"/>
  <c r="H7" i="7"/>
  <c r="J7" i="7" l="1"/>
  <c r="I7" i="7"/>
  <c r="F7" i="7"/>
  <c r="B7" i="7"/>
  <c r="A30" i="11"/>
  <c r="L25" i="11"/>
  <c r="L24" i="11"/>
  <c r="L23" i="11"/>
  <c r="D6" i="11" s="1"/>
  <c r="L22" i="11"/>
  <c r="N22" i="11" s="1"/>
  <c r="L21" i="11"/>
  <c r="L20" i="11"/>
  <c r="L19" i="11"/>
  <c r="N19" i="11" s="1"/>
  <c r="L18" i="11"/>
  <c r="L17" i="11"/>
  <c r="L16" i="11"/>
  <c r="N16" i="11" s="1"/>
  <c r="L15" i="11"/>
  <c r="L14" i="11"/>
  <c r="L13" i="11"/>
  <c r="N13" i="11" s="1"/>
  <c r="L12" i="11"/>
  <c r="L11" i="11"/>
  <c r="I8" i="11"/>
  <c r="H8" i="11"/>
  <c r="G8" i="11"/>
  <c r="F8" i="11"/>
  <c r="E8" i="11"/>
  <c r="B8" i="11"/>
  <c r="N15" i="11" l="1"/>
  <c r="N14" i="11" s="1"/>
  <c r="N21" i="11"/>
  <c r="N20" i="11" s="1"/>
  <c r="N18" i="11"/>
  <c r="N17" i="11"/>
  <c r="A31" i="11"/>
  <c r="N11" i="11"/>
  <c r="N12" i="11"/>
  <c r="C13" i="11" l="1"/>
  <c r="C30" i="11"/>
  <c r="D30" i="11" s="1"/>
  <c r="H30" i="11" s="1"/>
  <c r="A32" i="11"/>
  <c r="C31" i="11"/>
  <c r="D31" i="11" s="1"/>
  <c r="H31" i="11" s="1"/>
  <c r="C17" i="11"/>
  <c r="C29" i="11"/>
  <c r="C15" i="11"/>
  <c r="B32" i="11"/>
  <c r="B31" i="11"/>
  <c r="B29" i="11"/>
  <c r="B30" i="11"/>
  <c r="C11" i="11"/>
  <c r="H68" i="6"/>
  <c r="K68" i="6"/>
  <c r="J68" i="6"/>
  <c r="I68" i="6"/>
  <c r="G68" i="6"/>
  <c r="F68" i="6"/>
  <c r="B68" i="6"/>
  <c r="B8" i="6"/>
  <c r="L22" i="6"/>
  <c r="N22" i="6" s="1"/>
  <c r="L9" i="7" s="1"/>
  <c r="L21" i="6"/>
  <c r="L20" i="6"/>
  <c r="L19" i="6"/>
  <c r="L18" i="6"/>
  <c r="L17" i="6"/>
  <c r="L16" i="6"/>
  <c r="N16" i="6" s="1"/>
  <c r="F9" i="7" s="1"/>
  <c r="L15" i="6"/>
  <c r="L14" i="6"/>
  <c r="L13" i="6"/>
  <c r="N13" i="6" s="1"/>
  <c r="C9" i="7" s="1"/>
  <c r="L12" i="6"/>
  <c r="L11" i="6"/>
  <c r="N21" i="6" l="1"/>
  <c r="N15" i="6"/>
  <c r="N18" i="6"/>
  <c r="N17" i="6"/>
  <c r="C19" i="11"/>
  <c r="G32" i="11"/>
  <c r="E32" i="11"/>
  <c r="E12" i="11"/>
  <c r="G12" i="11"/>
  <c r="G29" i="11"/>
  <c r="E29" i="11"/>
  <c r="D29" i="11"/>
  <c r="E30" i="11"/>
  <c r="G30" i="11"/>
  <c r="G31" i="11"/>
  <c r="E31" i="11"/>
  <c r="C32" i="11"/>
  <c r="D32" i="11" s="1"/>
  <c r="H32" i="11" s="1"/>
  <c r="A33" i="11"/>
  <c r="N19" i="6"/>
  <c r="I9" i="7" s="1"/>
  <c r="N11" i="6"/>
  <c r="A9" i="7" s="1"/>
  <c r="N12" i="6"/>
  <c r="B9" i="7" s="1"/>
  <c r="A30" i="6"/>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L25" i="6"/>
  <c r="L24" i="6"/>
  <c r="L23" i="6"/>
  <c r="E68" i="6" l="1"/>
  <c r="E7" i="7"/>
  <c r="H29" i="11"/>
  <c r="F32" i="11"/>
  <c r="F31" i="11"/>
  <c r="F30" i="11"/>
  <c r="I30" i="11" s="1"/>
  <c r="F29" i="11"/>
  <c r="I29" i="11" s="1"/>
  <c r="G9" i="7"/>
  <c r="G70" i="6"/>
  <c r="H9" i="7"/>
  <c r="H70" i="6"/>
  <c r="E70" i="6"/>
  <c r="E9" i="7"/>
  <c r="N14" i="6"/>
  <c r="C68" i="6"/>
  <c r="C7" i="7"/>
  <c r="D68" i="6"/>
  <c r="D7" i="7"/>
  <c r="N20" i="6"/>
  <c r="K9" i="7"/>
  <c r="K70" i="6"/>
  <c r="C21" i="11"/>
  <c r="I31" i="11"/>
  <c r="I32" i="11"/>
  <c r="C33" i="11"/>
  <c r="A34" i="11"/>
  <c r="B33" i="11"/>
  <c r="D6" i="6"/>
  <c r="A55" i="6"/>
  <c r="B46" i="4"/>
  <c r="A47" i="4"/>
  <c r="D70" i="6" l="1"/>
  <c r="D9" i="7"/>
  <c r="J9" i="7"/>
  <c r="J70" i="6"/>
  <c r="H12" i="11"/>
  <c r="F12" i="11"/>
  <c r="G33" i="11"/>
  <c r="E33" i="11"/>
  <c r="A35" i="11"/>
  <c r="C34" i="11"/>
  <c r="B34" i="11"/>
  <c r="D33" i="11"/>
  <c r="A56" i="6"/>
  <c r="A48" i="4"/>
  <c r="B47" i="4"/>
  <c r="B48" i="4"/>
  <c r="H33" i="11" l="1"/>
  <c r="F33" i="11"/>
  <c r="I33" i="11" s="1"/>
  <c r="I12" i="11"/>
  <c r="D34" i="11"/>
  <c r="E34" i="11"/>
  <c r="G34" i="11"/>
  <c r="A36" i="11"/>
  <c r="C35" i="11"/>
  <c r="B35" i="11"/>
  <c r="A57" i="6"/>
  <c r="A49" i="4"/>
  <c r="H34" i="11" l="1"/>
  <c r="F34" i="11"/>
  <c r="I34" i="11" s="1"/>
  <c r="D35" i="11"/>
  <c r="A37" i="11"/>
  <c r="C36" i="11"/>
  <c r="B36" i="11"/>
  <c r="G35" i="11"/>
  <c r="E35" i="11"/>
  <c r="A58" i="6"/>
  <c r="A50" i="4"/>
  <c r="B49" i="4"/>
  <c r="H35" i="11" l="1"/>
  <c r="F35" i="11"/>
  <c r="I35" i="11" s="1"/>
  <c r="A38" i="11"/>
  <c r="C37" i="11"/>
  <c r="B37" i="11"/>
  <c r="D36" i="11"/>
  <c r="G36" i="11"/>
  <c r="E36" i="11"/>
  <c r="A59" i="6"/>
  <c r="A51" i="4"/>
  <c r="B50" i="4"/>
  <c r="H36" i="11" l="1"/>
  <c r="F36" i="11"/>
  <c r="I36" i="11" s="1"/>
  <c r="G37" i="11"/>
  <c r="E37" i="11"/>
  <c r="D37" i="11"/>
  <c r="C38" i="11"/>
  <c r="A39" i="11"/>
  <c r="B38" i="11"/>
  <c r="A60" i="6"/>
  <c r="A61" i="6" s="1"/>
  <c r="A52" i="4"/>
  <c r="B51" i="4"/>
  <c r="E74" i="6"/>
  <c r="E75" i="6" s="1"/>
  <c r="E76" i="6" s="1"/>
  <c r="E77" i="6" s="1"/>
  <c r="E78" i="6" s="1"/>
  <c r="E79" i="6" s="1"/>
  <c r="E80" i="6" s="1"/>
  <c r="E81" i="6" s="1"/>
  <c r="E82" i="6" s="1"/>
  <c r="E83" i="6" s="1"/>
  <c r="E84" i="6" s="1"/>
  <c r="E85" i="6" s="1"/>
  <c r="E86" i="6" s="1"/>
  <c r="E87" i="6" s="1"/>
  <c r="E88" i="6" s="1"/>
  <c r="E89" i="6" s="1"/>
  <c r="H37" i="11" l="1"/>
  <c r="F37" i="11"/>
  <c r="D38" i="11"/>
  <c r="I37" i="11"/>
  <c r="E38" i="11"/>
  <c r="G38" i="11"/>
  <c r="A40" i="11"/>
  <c r="C39" i="11"/>
  <c r="B39" i="11"/>
  <c r="A62" i="6"/>
  <c r="A53" i="4"/>
  <c r="B52" i="4"/>
  <c r="E90" i="6"/>
  <c r="E91" i="6" s="1"/>
  <c r="E92" i="6" s="1"/>
  <c r="E93" i="6" s="1"/>
  <c r="E94" i="6" s="1"/>
  <c r="E95" i="6" s="1"/>
  <c r="E96" i="6" s="1"/>
  <c r="H11" i="7"/>
  <c r="H38" i="11" l="1"/>
  <c r="F38" i="11"/>
  <c r="I38" i="11" s="1"/>
  <c r="G39" i="11"/>
  <c r="E39" i="11"/>
  <c r="D39" i="11"/>
  <c r="C40" i="11"/>
  <c r="A41" i="11"/>
  <c r="B40" i="11"/>
  <c r="A63" i="6"/>
  <c r="A54" i="4"/>
  <c r="B53" i="4"/>
  <c r="F8" i="6"/>
  <c r="I8" i="6"/>
  <c r="H39" i="11" l="1"/>
  <c r="F39" i="11"/>
  <c r="I39" i="11" s="1"/>
  <c r="C41" i="11"/>
  <c r="A42" i="11"/>
  <c r="B41" i="11"/>
  <c r="D40" i="11"/>
  <c r="G40" i="11"/>
  <c r="E40" i="11"/>
  <c r="A64" i="6"/>
  <c r="A55" i="4"/>
  <c r="B54" i="4"/>
  <c r="H40" i="11" l="1"/>
  <c r="F40" i="11"/>
  <c r="I40" i="11" s="1"/>
  <c r="G41" i="11"/>
  <c r="E41" i="11"/>
  <c r="A43" i="11"/>
  <c r="C42" i="11"/>
  <c r="B42" i="11"/>
  <c r="D41" i="11"/>
  <c r="A56" i="4"/>
  <c r="B55" i="4"/>
  <c r="A12" i="7"/>
  <c r="H12" i="7" s="1"/>
  <c r="H8" i="6"/>
  <c r="H41" i="11" l="1"/>
  <c r="F41" i="11"/>
  <c r="I41" i="11" s="1"/>
  <c r="E42" i="11"/>
  <c r="G42" i="11"/>
  <c r="D42" i="11"/>
  <c r="A44" i="11"/>
  <c r="C43" i="11"/>
  <c r="B43" i="11"/>
  <c r="A57" i="4"/>
  <c r="B56" i="4"/>
  <c r="A13" i="7"/>
  <c r="H13" i="7" s="1"/>
  <c r="B9" i="2"/>
  <c r="B10" i="2"/>
  <c r="H42" i="11" l="1"/>
  <c r="F42" i="11"/>
  <c r="I42" i="11" s="1"/>
  <c r="E43" i="11"/>
  <c r="G43" i="11"/>
  <c r="D43" i="11"/>
  <c r="A45" i="11"/>
  <c r="C44" i="11"/>
  <c r="B44" i="11"/>
  <c r="A58" i="4"/>
  <c r="C58" i="4" s="1"/>
  <c r="F57" i="4"/>
  <c r="G57" i="4" s="1"/>
  <c r="B57" i="4"/>
  <c r="C46" i="4"/>
  <c r="C56" i="4"/>
  <c r="C49" i="4"/>
  <c r="C55" i="4"/>
  <c r="C57" i="4"/>
  <c r="C51" i="4"/>
  <c r="C53" i="4"/>
  <c r="C52" i="4"/>
  <c r="C54" i="4"/>
  <c r="C48" i="4"/>
  <c r="C50" i="4"/>
  <c r="C47" i="4"/>
  <c r="A14" i="7"/>
  <c r="B11" i="4"/>
  <c r="B23" i="4"/>
  <c r="B35" i="4"/>
  <c r="H43" i="11" l="1"/>
  <c r="F43" i="11"/>
  <c r="I43" i="11" s="1"/>
  <c r="G44" i="11"/>
  <c r="E44" i="11"/>
  <c r="D44" i="11"/>
  <c r="C45" i="11"/>
  <c r="A46" i="11"/>
  <c r="B45" i="11"/>
  <c r="D55" i="4"/>
  <c r="E55" i="4" s="1"/>
  <c r="A59" i="4"/>
  <c r="D58" i="4"/>
  <c r="E58" i="4" s="1"/>
  <c r="F58" i="4"/>
  <c r="G58" i="4" s="1"/>
  <c r="B58" i="4"/>
  <c r="B12" i="4"/>
  <c r="D57" i="4" s="1"/>
  <c r="E57" i="4" s="1"/>
  <c r="B36" i="4"/>
  <c r="I55" i="4" s="1"/>
  <c r="B24" i="4"/>
  <c r="H14" i="7"/>
  <c r="A15" i="7"/>
  <c r="G8" i="6"/>
  <c r="E8" i="6"/>
  <c r="L70" i="6"/>
  <c r="I70" i="6"/>
  <c r="F70" i="6"/>
  <c r="C70" i="6"/>
  <c r="H44" i="11" l="1"/>
  <c r="F44" i="11"/>
  <c r="D50" i="4"/>
  <c r="E50" i="4" s="1"/>
  <c r="D47" i="4"/>
  <c r="E47" i="4" s="1"/>
  <c r="I50" i="4"/>
  <c r="C46" i="11"/>
  <c r="A47" i="11"/>
  <c r="B46" i="11"/>
  <c r="D45" i="11"/>
  <c r="I44" i="11"/>
  <c r="E45" i="11"/>
  <c r="G45" i="11"/>
  <c r="D54" i="4"/>
  <c r="E54" i="4" s="1"/>
  <c r="D52" i="4"/>
  <c r="E52" i="4" s="1"/>
  <c r="F52" i="4"/>
  <c r="G52" i="4" s="1"/>
  <c r="F51" i="4"/>
  <c r="G51" i="4" s="1"/>
  <c r="I51" i="4"/>
  <c r="F53" i="4"/>
  <c r="G53" i="4" s="1"/>
  <c r="D46" i="4"/>
  <c r="E46" i="4" s="1"/>
  <c r="F54" i="4"/>
  <c r="G54" i="4" s="1"/>
  <c r="D51" i="4"/>
  <c r="E51" i="4" s="1"/>
  <c r="F47" i="4"/>
  <c r="G47" i="4" s="1"/>
  <c r="F48" i="4"/>
  <c r="G48" i="4" s="1"/>
  <c r="F55" i="4"/>
  <c r="G55" i="4" s="1"/>
  <c r="A60" i="4"/>
  <c r="F59" i="4"/>
  <c r="G59" i="4" s="1"/>
  <c r="D59" i="4"/>
  <c r="E59" i="4" s="1"/>
  <c r="B59" i="4"/>
  <c r="C59" i="4"/>
  <c r="D49" i="4"/>
  <c r="E49" i="4" s="1"/>
  <c r="F50" i="4"/>
  <c r="G50" i="4" s="1"/>
  <c r="I49" i="4"/>
  <c r="D56" i="4"/>
  <c r="E56" i="4" s="1"/>
  <c r="D48" i="4"/>
  <c r="E48" i="4" s="1"/>
  <c r="F49" i="4"/>
  <c r="G49" i="4" s="1"/>
  <c r="I53" i="4"/>
  <c r="D53" i="4"/>
  <c r="E53" i="4" s="1"/>
  <c r="I58" i="4"/>
  <c r="I56" i="4"/>
  <c r="I59" i="4"/>
  <c r="I46" i="4"/>
  <c r="I52" i="4"/>
  <c r="I54" i="4"/>
  <c r="I48" i="4"/>
  <c r="I47" i="4"/>
  <c r="I57" i="4"/>
  <c r="F56" i="4"/>
  <c r="G56" i="4" s="1"/>
  <c r="F46" i="4"/>
  <c r="G46" i="4" s="1"/>
  <c r="H57" i="4"/>
  <c r="H15" i="7"/>
  <c r="A16" i="7"/>
  <c r="S22" i="2"/>
  <c r="S21" i="2"/>
  <c r="Q22" i="2"/>
  <c r="Q21" i="2"/>
  <c r="O22" i="2"/>
  <c r="O21" i="2"/>
  <c r="B33" i="2"/>
  <c r="H45" i="11" l="1"/>
  <c r="F45" i="11"/>
  <c r="E46" i="11"/>
  <c r="G46" i="11"/>
  <c r="D46" i="11"/>
  <c r="I45" i="11"/>
  <c r="A48" i="11"/>
  <c r="C47" i="11"/>
  <c r="B47" i="11"/>
  <c r="H53" i="4"/>
  <c r="J53" i="4" s="1"/>
  <c r="A61" i="4"/>
  <c r="F60" i="4"/>
  <c r="G60" i="4" s="1"/>
  <c r="I60" i="4"/>
  <c r="D60" i="4"/>
  <c r="E60" i="4" s="1"/>
  <c r="B60" i="4"/>
  <c r="C60" i="4"/>
  <c r="H46" i="4"/>
  <c r="J46" i="4" s="1"/>
  <c r="H55" i="4"/>
  <c r="J55" i="4" s="1"/>
  <c r="H58" i="4"/>
  <c r="J58" i="4" s="1"/>
  <c r="H49" i="4"/>
  <c r="J49" i="4" s="1"/>
  <c r="H50" i="4"/>
  <c r="J50" i="4" s="1"/>
  <c r="H52" i="4"/>
  <c r="J52" i="4" s="1"/>
  <c r="H56" i="4"/>
  <c r="J56" i="4" s="1"/>
  <c r="C17" i="6"/>
  <c r="H51" i="4"/>
  <c r="J51" i="4" s="1"/>
  <c r="J57" i="4"/>
  <c r="H54" i="4"/>
  <c r="J54" i="4" s="1"/>
  <c r="H48" i="4"/>
  <c r="J48" i="4" s="1"/>
  <c r="H59" i="4"/>
  <c r="J59" i="4" s="1"/>
  <c r="H47" i="4"/>
  <c r="J47" i="4" s="1"/>
  <c r="Q34" i="2"/>
  <c r="O34" i="2"/>
  <c r="H16" i="7"/>
  <c r="A17" i="7"/>
  <c r="A70" i="6"/>
  <c r="C15" i="6"/>
  <c r="S34" i="2"/>
  <c r="S25" i="2"/>
  <c r="S27" i="2"/>
  <c r="S29" i="2"/>
  <c r="S31" i="2"/>
  <c r="S33" i="2"/>
  <c r="S26" i="2"/>
  <c r="S28" i="2"/>
  <c r="S30" i="2"/>
  <c r="S32" i="2"/>
  <c r="Q25" i="2"/>
  <c r="Q27" i="2"/>
  <c r="Q29" i="2"/>
  <c r="Q31" i="2"/>
  <c r="Q33" i="2"/>
  <c r="Q26" i="2"/>
  <c r="Q28" i="2"/>
  <c r="Q30" i="2"/>
  <c r="Q32" i="2"/>
  <c r="O25" i="2"/>
  <c r="O27" i="2"/>
  <c r="O29" i="2"/>
  <c r="O31" i="2"/>
  <c r="O33" i="2"/>
  <c r="O26" i="2"/>
  <c r="O28" i="2"/>
  <c r="O30" i="2"/>
  <c r="O32" i="2"/>
  <c r="H46" i="11" l="1"/>
  <c r="F46" i="11"/>
  <c r="I46" i="11" s="1"/>
  <c r="D47" i="11"/>
  <c r="G47" i="11"/>
  <c r="E47" i="11"/>
  <c r="C48" i="11"/>
  <c r="A49" i="11"/>
  <c r="B48" i="11"/>
  <c r="A62" i="4"/>
  <c r="F61" i="4"/>
  <c r="G61" i="4" s="1"/>
  <c r="I61" i="4"/>
  <c r="D61" i="4"/>
  <c r="E61" i="4" s="1"/>
  <c r="B61" i="4"/>
  <c r="C61" i="4"/>
  <c r="H60" i="4"/>
  <c r="J60" i="4" s="1"/>
  <c r="B17" i="7"/>
  <c r="H17" i="7"/>
  <c r="A18" i="7"/>
  <c r="H47" i="11" l="1"/>
  <c r="F47" i="11"/>
  <c r="I47" i="11" s="1"/>
  <c r="G48" i="11"/>
  <c r="E48" i="11"/>
  <c r="C49" i="11"/>
  <c r="A50" i="11"/>
  <c r="B49" i="11"/>
  <c r="D48" i="11"/>
  <c r="B61" i="6"/>
  <c r="B62" i="6"/>
  <c r="B63" i="6"/>
  <c r="B64" i="6"/>
  <c r="B54" i="6"/>
  <c r="B53" i="6"/>
  <c r="B59" i="6"/>
  <c r="B55" i="6"/>
  <c r="B56" i="6"/>
  <c r="B57" i="6"/>
  <c r="B58" i="6"/>
  <c r="B60" i="6"/>
  <c r="H61" i="4"/>
  <c r="J61" i="4" s="1"/>
  <c r="B62" i="4"/>
  <c r="F62" i="4"/>
  <c r="G62" i="4" s="1"/>
  <c r="I62" i="4"/>
  <c r="D62" i="4"/>
  <c r="E62" i="4" s="1"/>
  <c r="A63" i="4"/>
  <c r="C62" i="4"/>
  <c r="B52" i="6"/>
  <c r="B51" i="6"/>
  <c r="B12" i="7"/>
  <c r="B13" i="7"/>
  <c r="B14" i="7"/>
  <c r="B11" i="7"/>
  <c r="B15" i="7"/>
  <c r="B16" i="7"/>
  <c r="B48" i="6"/>
  <c r="B50" i="6"/>
  <c r="B49" i="6"/>
  <c r="B46" i="6"/>
  <c r="B45" i="6"/>
  <c r="B47" i="6"/>
  <c r="H18" i="7"/>
  <c r="B18" i="7"/>
  <c r="D17" i="7"/>
  <c r="E17" i="7" s="1"/>
  <c r="C17" i="7"/>
  <c r="A19" i="7"/>
  <c r="B70" i="6"/>
  <c r="C11" i="6"/>
  <c r="E12" i="6" s="1"/>
  <c r="B41" i="6"/>
  <c r="B37" i="6"/>
  <c r="B33" i="6"/>
  <c r="B29" i="6"/>
  <c r="B44" i="6"/>
  <c r="B40" i="6"/>
  <c r="B36" i="6"/>
  <c r="B32" i="6"/>
  <c r="B43" i="6"/>
  <c r="B39" i="6"/>
  <c r="B35" i="6"/>
  <c r="B31" i="6"/>
  <c r="B30" i="6"/>
  <c r="B42" i="6"/>
  <c r="B38" i="6"/>
  <c r="B34" i="6"/>
  <c r="D32" i="2"/>
  <c r="B13" i="2"/>
  <c r="C13" i="2" s="1"/>
  <c r="D13" i="2"/>
  <c r="D14" i="2"/>
  <c r="D15" i="2"/>
  <c r="D16" i="2"/>
  <c r="D17" i="2"/>
  <c r="D18" i="2"/>
  <c r="B14" i="2"/>
  <c r="C14" i="2" s="1"/>
  <c r="B15" i="2"/>
  <c r="C15" i="2" s="1"/>
  <c r="B16" i="2"/>
  <c r="C16" i="2" s="1"/>
  <c r="B17" i="2"/>
  <c r="C17" i="2" s="1"/>
  <c r="B18" i="2"/>
  <c r="C18" i="2" s="1"/>
  <c r="B19" i="2"/>
  <c r="C19" i="2" s="1"/>
  <c r="B20" i="2"/>
  <c r="C20" i="2" s="1"/>
  <c r="B21" i="2"/>
  <c r="C21" i="2" s="1"/>
  <c r="B22" i="2"/>
  <c r="C22" i="2" s="1"/>
  <c r="B30" i="2"/>
  <c r="D30" i="2" s="1"/>
  <c r="B31" i="2"/>
  <c r="C31" i="2" s="1"/>
  <c r="E31" i="2" s="1"/>
  <c r="C32" i="2"/>
  <c r="E32" i="2" s="1"/>
  <c r="D19" i="2"/>
  <c r="D20" i="2"/>
  <c r="D21" i="2"/>
  <c r="D22" i="2"/>
  <c r="H48" i="11" l="1"/>
  <c r="F48" i="11"/>
  <c r="D49" i="11"/>
  <c r="G49" i="11"/>
  <c r="E49" i="11"/>
  <c r="I48" i="11"/>
  <c r="C50" i="11"/>
  <c r="A51" i="11"/>
  <c r="B50" i="11"/>
  <c r="G64" i="6"/>
  <c r="E64" i="6"/>
  <c r="G63" i="6"/>
  <c r="E63" i="6"/>
  <c r="E62" i="6"/>
  <c r="G62" i="6"/>
  <c r="E61" i="6"/>
  <c r="G61" i="6"/>
  <c r="G60" i="6"/>
  <c r="E60" i="6"/>
  <c r="G58" i="6"/>
  <c r="E58" i="6"/>
  <c r="G56" i="6"/>
  <c r="E56" i="6"/>
  <c r="G55" i="6"/>
  <c r="E55" i="6"/>
  <c r="G59" i="6"/>
  <c r="E59" i="6"/>
  <c r="E57" i="6"/>
  <c r="G57" i="6"/>
  <c r="E53" i="6"/>
  <c r="G53" i="6"/>
  <c r="G54" i="6"/>
  <c r="E54" i="6"/>
  <c r="H62" i="4"/>
  <c r="J62" i="4" s="1"/>
  <c r="F63" i="4"/>
  <c r="G63" i="4" s="1"/>
  <c r="I63" i="4"/>
  <c r="D63" i="4"/>
  <c r="E63" i="4" s="1"/>
  <c r="B63" i="4"/>
  <c r="C63" i="4"/>
  <c r="A64" i="4"/>
  <c r="C16" i="7"/>
  <c r="D16" i="7"/>
  <c r="E16" i="7" s="1"/>
  <c r="D13" i="7"/>
  <c r="E13" i="7" s="1"/>
  <c r="C13" i="7"/>
  <c r="G51" i="6"/>
  <c r="E51" i="6"/>
  <c r="C15" i="7"/>
  <c r="D15" i="7"/>
  <c r="E15" i="7" s="1"/>
  <c r="D12" i="7"/>
  <c r="E12" i="7" s="1"/>
  <c r="C12" i="7"/>
  <c r="G52" i="6"/>
  <c r="E52" i="6"/>
  <c r="C11" i="7"/>
  <c r="D11" i="7"/>
  <c r="E11" i="7" s="1"/>
  <c r="D14" i="7"/>
  <c r="E14" i="7" s="1"/>
  <c r="C14" i="7"/>
  <c r="E50" i="6"/>
  <c r="G50" i="6"/>
  <c r="G49" i="6"/>
  <c r="E49" i="6"/>
  <c r="E48" i="6"/>
  <c r="G48" i="6"/>
  <c r="E45" i="6"/>
  <c r="G45" i="6"/>
  <c r="E47" i="6"/>
  <c r="G47" i="6"/>
  <c r="G46" i="6"/>
  <c r="E46" i="6"/>
  <c r="H19" i="7"/>
  <c r="B19" i="7"/>
  <c r="C18" i="7"/>
  <c r="D18" i="7"/>
  <c r="E18" i="7" s="1"/>
  <c r="A20" i="7"/>
  <c r="G17" i="7"/>
  <c r="F17" i="7"/>
  <c r="G42" i="6"/>
  <c r="E42" i="6"/>
  <c r="G43" i="6"/>
  <c r="E43" i="6"/>
  <c r="G41" i="6"/>
  <c r="E41" i="6"/>
  <c r="G12" i="6"/>
  <c r="E32" i="6"/>
  <c r="G32" i="6"/>
  <c r="E40" i="6"/>
  <c r="G40" i="6"/>
  <c r="G35" i="6"/>
  <c r="E35" i="6"/>
  <c r="E30" i="6"/>
  <c r="G30" i="6"/>
  <c r="E38" i="6"/>
  <c r="G38" i="6"/>
  <c r="G33" i="6"/>
  <c r="E33" i="6"/>
  <c r="G44" i="6"/>
  <c r="E44" i="6"/>
  <c r="E36" i="6"/>
  <c r="G36" i="6"/>
  <c r="G31" i="6"/>
  <c r="E31" i="6"/>
  <c r="G39" i="6"/>
  <c r="E39" i="6"/>
  <c r="E34" i="6"/>
  <c r="G34" i="6"/>
  <c r="E29" i="6"/>
  <c r="G29" i="6"/>
  <c r="G37" i="6"/>
  <c r="E37" i="6"/>
  <c r="C30" i="2"/>
  <c r="E30" i="2" s="1"/>
  <c r="D31" i="2"/>
  <c r="H63" i="4" l="1"/>
  <c r="H49" i="11"/>
  <c r="F49" i="11"/>
  <c r="I49" i="11" s="1"/>
  <c r="E50" i="11"/>
  <c r="G50" i="11"/>
  <c r="D50" i="11"/>
  <c r="C51" i="11"/>
  <c r="A52" i="11"/>
  <c r="B51" i="11"/>
  <c r="J63" i="4"/>
  <c r="F64" i="4"/>
  <c r="G64" i="4" s="1"/>
  <c r="I64" i="4"/>
  <c r="D64" i="4"/>
  <c r="E64" i="4" s="1"/>
  <c r="A65" i="4"/>
  <c r="B64" i="4"/>
  <c r="C64" i="4"/>
  <c r="F14" i="7"/>
  <c r="G14" i="7"/>
  <c r="F11" i="7"/>
  <c r="G11" i="7"/>
  <c r="F12" i="7"/>
  <c r="G12" i="7"/>
  <c r="G15" i="7"/>
  <c r="F15" i="7"/>
  <c r="F13" i="7"/>
  <c r="G13" i="7"/>
  <c r="G16" i="7"/>
  <c r="F16" i="7"/>
  <c r="H20" i="7"/>
  <c r="B20" i="7"/>
  <c r="A21" i="7"/>
  <c r="C19" i="7"/>
  <c r="D19" i="7"/>
  <c r="E19" i="7" s="1"/>
  <c r="G18" i="7"/>
  <c r="F18" i="7"/>
  <c r="H50" i="11" l="1"/>
  <c r="F50" i="11"/>
  <c r="I50" i="11" s="1"/>
  <c r="D51" i="11"/>
  <c r="C52" i="11"/>
  <c r="A53" i="11"/>
  <c r="B52" i="11"/>
  <c r="E51" i="11"/>
  <c r="G51" i="11"/>
  <c r="H64" i="4"/>
  <c r="J64" i="4" s="1"/>
  <c r="I65" i="4"/>
  <c r="D65" i="4"/>
  <c r="E65" i="4" s="1"/>
  <c r="F65" i="4"/>
  <c r="G65" i="4" s="1"/>
  <c r="B65" i="4"/>
  <c r="A66" i="4"/>
  <c r="C65" i="4"/>
  <c r="H21" i="7"/>
  <c r="B21" i="7"/>
  <c r="C20" i="7"/>
  <c r="D20" i="7"/>
  <c r="E20" i="7" s="1"/>
  <c r="F19" i="7"/>
  <c r="G19" i="7"/>
  <c r="A22" i="7"/>
  <c r="H51" i="11" l="1"/>
  <c r="F51" i="11"/>
  <c r="D52" i="11"/>
  <c r="G52" i="11"/>
  <c r="E52" i="11"/>
  <c r="I51" i="11"/>
  <c r="A54" i="11"/>
  <c r="C53" i="11"/>
  <c r="B53" i="11"/>
  <c r="H65" i="4"/>
  <c r="J65" i="4" s="1"/>
  <c r="D66" i="4"/>
  <c r="E66" i="4" s="1"/>
  <c r="F66" i="4"/>
  <c r="G66" i="4" s="1"/>
  <c r="I66" i="4"/>
  <c r="C66" i="4"/>
  <c r="B66" i="4"/>
  <c r="H66" i="4" s="1"/>
  <c r="H22" i="7"/>
  <c r="B22" i="7"/>
  <c r="A23" i="7"/>
  <c r="F20" i="7"/>
  <c r="G20" i="7"/>
  <c r="D21" i="7"/>
  <c r="E21" i="7" s="1"/>
  <c r="C21" i="7"/>
  <c r="H52" i="11" l="1"/>
  <c r="F52" i="11"/>
  <c r="I52" i="11" s="1"/>
  <c r="D53" i="11"/>
  <c r="C54" i="11"/>
  <c r="A55" i="11"/>
  <c r="B54" i="11"/>
  <c r="E53" i="11"/>
  <c r="G53" i="11"/>
  <c r="J66" i="4"/>
  <c r="H23" i="7"/>
  <c r="B23" i="7"/>
  <c r="D22" i="7"/>
  <c r="E22" i="7" s="1"/>
  <c r="C22" i="7"/>
  <c r="F21" i="7"/>
  <c r="G21" i="7"/>
  <c r="A24" i="7"/>
  <c r="H53" i="11" l="1"/>
  <c r="F53" i="11"/>
  <c r="I53" i="11" s="1"/>
  <c r="D54" i="11"/>
  <c r="E54" i="11"/>
  <c r="G54" i="11"/>
  <c r="C55" i="11"/>
  <c r="A56" i="11"/>
  <c r="B55" i="11"/>
  <c r="H24" i="7"/>
  <c r="B24" i="7"/>
  <c r="D23" i="7"/>
  <c r="E23" i="7" s="1"/>
  <c r="C23" i="7"/>
  <c r="A25" i="7"/>
  <c r="G22" i="7"/>
  <c r="F22" i="7"/>
  <c r="H54" i="11" l="1"/>
  <c r="F54" i="11"/>
  <c r="I54" i="11"/>
  <c r="G55" i="11"/>
  <c r="E55" i="11"/>
  <c r="A57" i="11"/>
  <c r="C56" i="11"/>
  <c r="B56" i="11"/>
  <c r="D55" i="11"/>
  <c r="H25" i="7"/>
  <c r="B25" i="7"/>
  <c r="C24" i="7"/>
  <c r="D24" i="7"/>
  <c r="E24" i="7" s="1"/>
  <c r="A26" i="7"/>
  <c r="G23" i="7"/>
  <c r="F23" i="7"/>
  <c r="H55" i="11" l="1"/>
  <c r="F55" i="11"/>
  <c r="I55" i="11" s="1"/>
  <c r="D56" i="11"/>
  <c r="E56" i="11"/>
  <c r="G56" i="11"/>
  <c r="A58" i="11"/>
  <c r="C57" i="11"/>
  <c r="B57" i="11"/>
  <c r="H26" i="7"/>
  <c r="B26" i="7"/>
  <c r="G24" i="7"/>
  <c r="F24" i="7"/>
  <c r="C25" i="7"/>
  <c r="D25" i="7"/>
  <c r="E25" i="7" s="1"/>
  <c r="A27" i="7"/>
  <c r="H56" i="11" l="1"/>
  <c r="F56" i="11"/>
  <c r="D57" i="11"/>
  <c r="I56" i="11"/>
  <c r="A59" i="11"/>
  <c r="C58" i="11"/>
  <c r="B58" i="11"/>
  <c r="E57" i="11"/>
  <c r="G57" i="11"/>
  <c r="H27" i="7"/>
  <c r="B27" i="7"/>
  <c r="F25" i="7"/>
  <c r="G25" i="7"/>
  <c r="A28" i="7"/>
  <c r="D26" i="7"/>
  <c r="E26" i="7" s="1"/>
  <c r="C26" i="7"/>
  <c r="H57" i="11" l="1"/>
  <c r="F57" i="11"/>
  <c r="I57" i="11"/>
  <c r="D58" i="11"/>
  <c r="A60" i="11"/>
  <c r="C59" i="11"/>
  <c r="B59" i="11"/>
  <c r="G58" i="11"/>
  <c r="E58" i="11"/>
  <c r="H28" i="7"/>
  <c r="B28" i="7"/>
  <c r="C27" i="7"/>
  <c r="D27" i="7"/>
  <c r="E27" i="7" s="1"/>
  <c r="G26" i="7"/>
  <c r="F26" i="7"/>
  <c r="A29" i="7"/>
  <c r="H58" i="11" l="1"/>
  <c r="F58" i="11"/>
  <c r="I58" i="11" s="1"/>
  <c r="A61" i="11"/>
  <c r="C60" i="11"/>
  <c r="B60" i="11"/>
  <c r="G59" i="11"/>
  <c r="E59" i="11"/>
  <c r="D59" i="11"/>
  <c r="H29" i="7"/>
  <c r="B29" i="7"/>
  <c r="F27" i="7"/>
  <c r="G27" i="7"/>
  <c r="C28" i="7"/>
  <c r="D28" i="7"/>
  <c r="E28" i="7" s="1"/>
  <c r="A30" i="7"/>
  <c r="H59" i="11" l="1"/>
  <c r="F59" i="11"/>
  <c r="G60" i="11"/>
  <c r="E60" i="11"/>
  <c r="I59" i="11"/>
  <c r="D60" i="11"/>
  <c r="A62" i="11"/>
  <c r="C61" i="11"/>
  <c r="B61" i="11"/>
  <c r="H30" i="7"/>
  <c r="B30" i="7"/>
  <c r="F28" i="7"/>
  <c r="G28" i="7"/>
  <c r="C29" i="7"/>
  <c r="D29" i="7"/>
  <c r="E29" i="7" s="1"/>
  <c r="A31" i="7"/>
  <c r="H60" i="11" l="1"/>
  <c r="F60" i="11"/>
  <c r="A63" i="11"/>
  <c r="C62" i="11"/>
  <c r="B62" i="11"/>
  <c r="I60" i="11"/>
  <c r="D61" i="11"/>
  <c r="E61" i="11"/>
  <c r="G61" i="11"/>
  <c r="H31" i="7"/>
  <c r="B31" i="7"/>
  <c r="F29" i="7"/>
  <c r="G29" i="7"/>
  <c r="A32" i="7"/>
  <c r="D30" i="7"/>
  <c r="E30" i="7" s="1"/>
  <c r="C30" i="7"/>
  <c r="H61" i="11" l="1"/>
  <c r="F61" i="11"/>
  <c r="I61" i="11" s="1"/>
  <c r="G62" i="11"/>
  <c r="E62" i="11"/>
  <c r="D62" i="11"/>
  <c r="C63" i="11"/>
  <c r="A64" i="11"/>
  <c r="B63" i="11"/>
  <c r="H32" i="7"/>
  <c r="B32" i="7"/>
  <c r="F30" i="7"/>
  <c r="G30" i="7"/>
  <c r="D31" i="7"/>
  <c r="E31" i="7" s="1"/>
  <c r="C31" i="7"/>
  <c r="A33" i="7"/>
  <c r="H62" i="11" l="1"/>
  <c r="F62" i="11"/>
  <c r="C64" i="11"/>
  <c r="B64" i="11"/>
  <c r="I62" i="11"/>
  <c r="D63" i="11"/>
  <c r="G63" i="11"/>
  <c r="E63" i="11"/>
  <c r="H33" i="7"/>
  <c r="B33" i="7"/>
  <c r="G31" i="7"/>
  <c r="F31" i="7"/>
  <c r="D32" i="7"/>
  <c r="E32" i="7" s="1"/>
  <c r="C32" i="7"/>
  <c r="A34" i="7"/>
  <c r="H63" i="11" l="1"/>
  <c r="F63" i="11"/>
  <c r="I63" i="11"/>
  <c r="G64" i="11"/>
  <c r="E64" i="11"/>
  <c r="D64" i="11"/>
  <c r="H34" i="7"/>
  <c r="B34" i="7"/>
  <c r="A35" i="7"/>
  <c r="D33" i="7"/>
  <c r="E33" i="7" s="1"/>
  <c r="C33" i="7"/>
  <c r="G32" i="7"/>
  <c r="F32" i="7"/>
  <c r="H64" i="11" l="1"/>
  <c r="F64" i="11"/>
  <c r="I64" i="11" s="1"/>
  <c r="H35" i="7"/>
  <c r="B35" i="7"/>
  <c r="F33" i="7"/>
  <c r="G33" i="7"/>
  <c r="A36" i="7"/>
  <c r="C34" i="7"/>
  <c r="D34" i="7"/>
  <c r="E34" i="7" s="1"/>
  <c r="M51" i="11" l="1"/>
  <c r="H36" i="7"/>
  <c r="B36" i="7"/>
  <c r="G34" i="7"/>
  <c r="F34" i="7"/>
  <c r="D35" i="7"/>
  <c r="E35" i="7" s="1"/>
  <c r="C35" i="7"/>
  <c r="J31" i="11" l="1"/>
  <c r="J29" i="11"/>
  <c r="J32" i="11"/>
  <c r="J30" i="11"/>
  <c r="J33" i="11"/>
  <c r="J34" i="11"/>
  <c r="J35" i="11"/>
  <c r="J36" i="11"/>
  <c r="J37" i="11"/>
  <c r="J38" i="11"/>
  <c r="J39" i="11"/>
  <c r="J40" i="11"/>
  <c r="J41" i="11"/>
  <c r="J43" i="11"/>
  <c r="J42" i="11"/>
  <c r="J44" i="11"/>
  <c r="J45" i="11"/>
  <c r="J46" i="11"/>
  <c r="J47" i="11"/>
  <c r="J48" i="11"/>
  <c r="J49" i="11"/>
  <c r="J50" i="11"/>
  <c r="J51" i="11"/>
  <c r="J52" i="11"/>
  <c r="J53" i="11"/>
  <c r="J54" i="11"/>
  <c r="J55" i="11"/>
  <c r="J56" i="11"/>
  <c r="J57" i="11"/>
  <c r="J58" i="11"/>
  <c r="J59" i="11"/>
  <c r="J60" i="11"/>
  <c r="J61" i="11"/>
  <c r="J62" i="11"/>
  <c r="J63" i="11"/>
  <c r="J64" i="11"/>
  <c r="D36" i="7"/>
  <c r="E36" i="7" s="1"/>
  <c r="C36" i="7"/>
  <c r="G35" i="7"/>
  <c r="F35" i="7"/>
  <c r="M50" i="11" l="1"/>
  <c r="F36" i="7"/>
  <c r="G36" i="7"/>
  <c r="C51" i="6"/>
  <c r="D51" i="6" s="1"/>
  <c r="H51" i="6" s="1"/>
  <c r="C44" i="6"/>
  <c r="D44" i="6" s="1"/>
  <c r="H44" i="6" s="1"/>
  <c r="C40" i="6"/>
  <c r="D40" i="6" s="1"/>
  <c r="H40" i="6" s="1"/>
  <c r="C53" i="6"/>
  <c r="D53" i="6" s="1"/>
  <c r="H53" i="6" s="1"/>
  <c r="C31" i="6"/>
  <c r="D31" i="6" s="1"/>
  <c r="H31" i="6" s="1"/>
  <c r="C57" i="6"/>
  <c r="D57" i="6" s="1"/>
  <c r="H57" i="6" s="1"/>
  <c r="C60" i="6"/>
  <c r="D60" i="6" s="1"/>
  <c r="H60" i="6" s="1"/>
  <c r="C37" i="6"/>
  <c r="D37" i="6" s="1"/>
  <c r="H37" i="6" s="1"/>
  <c r="C33" i="6"/>
  <c r="D33" i="6" s="1"/>
  <c r="H33" i="6" s="1"/>
  <c r="C63" i="6"/>
  <c r="D63" i="6" s="1"/>
  <c r="H63" i="6" s="1"/>
  <c r="C58" i="6"/>
  <c r="D58" i="6" s="1"/>
  <c r="H58" i="6" s="1"/>
  <c r="C64" i="6"/>
  <c r="D64" i="6" s="1"/>
  <c r="H64" i="6" s="1"/>
  <c r="C32" i="6"/>
  <c r="D32" i="6" s="1"/>
  <c r="H32" i="6" s="1"/>
  <c r="C30" i="6"/>
  <c r="D30" i="6" s="1"/>
  <c r="H30" i="6" s="1"/>
  <c r="C45" i="6"/>
  <c r="D45" i="6" s="1"/>
  <c r="H45" i="6" s="1"/>
  <c r="C47" i="6"/>
  <c r="D47" i="6" s="1"/>
  <c r="H47" i="6" s="1"/>
  <c r="C50" i="6"/>
  <c r="D50" i="6" s="1"/>
  <c r="H50" i="6" s="1"/>
  <c r="C41" i="6"/>
  <c r="D41" i="6" s="1"/>
  <c r="H41" i="6" s="1"/>
  <c r="C49" i="6"/>
  <c r="D49" i="6" s="1"/>
  <c r="H49" i="6" s="1"/>
  <c r="C48" i="6"/>
  <c r="D48" i="6" s="1"/>
  <c r="H48" i="6" s="1"/>
  <c r="C62" i="6"/>
  <c r="D62" i="6" s="1"/>
  <c r="H62" i="6" s="1"/>
  <c r="C46" i="6"/>
  <c r="D46" i="6" s="1"/>
  <c r="H46" i="6" s="1"/>
  <c r="C59" i="6"/>
  <c r="D59" i="6" s="1"/>
  <c r="H59" i="6" s="1"/>
  <c r="C52" i="6"/>
  <c r="D52" i="6" s="1"/>
  <c r="H52" i="6" s="1"/>
  <c r="C42" i="6"/>
  <c r="D42" i="6" s="1"/>
  <c r="H42" i="6" s="1"/>
  <c r="C34" i="6"/>
  <c r="D34" i="6" s="1"/>
  <c r="H34" i="6" s="1"/>
  <c r="C35" i="6"/>
  <c r="D35" i="6" s="1"/>
  <c r="H35" i="6" s="1"/>
  <c r="C43" i="6"/>
  <c r="D43" i="6" s="1"/>
  <c r="H43" i="6" s="1"/>
  <c r="C55" i="6"/>
  <c r="D55" i="6"/>
  <c r="H55" i="6" s="1"/>
  <c r="C39" i="6"/>
  <c r="D39" i="6" s="1"/>
  <c r="H39" i="6" s="1"/>
  <c r="C36" i="6"/>
  <c r="D36" i="6" s="1"/>
  <c r="H36" i="6" s="1"/>
  <c r="C29" i="6"/>
  <c r="F29" i="6" s="1"/>
  <c r="C38" i="6"/>
  <c r="D38" i="6" s="1"/>
  <c r="H38" i="6" s="1"/>
  <c r="C13" i="6"/>
  <c r="C19" i="6" s="1"/>
  <c r="F12" i="6" s="1"/>
  <c r="C54" i="6"/>
  <c r="D54" i="6" s="1"/>
  <c r="H54" i="6" s="1"/>
  <c r="C56" i="6"/>
  <c r="D56" i="6" s="1"/>
  <c r="H56" i="6" s="1"/>
  <c r="C61" i="6"/>
  <c r="D61" i="6" s="1"/>
  <c r="H61" i="6" s="1"/>
  <c r="F30" i="6" l="1"/>
  <c r="I30" i="6" s="1"/>
  <c r="F50" i="6"/>
  <c r="I50" i="6" s="1"/>
  <c r="F46" i="6"/>
  <c r="I46" i="6" s="1"/>
  <c r="F51" i="6"/>
  <c r="I51" i="6" s="1"/>
  <c r="F45" i="6"/>
  <c r="I45" i="6" s="1"/>
  <c r="F48" i="6"/>
  <c r="I48" i="6" s="1"/>
  <c r="F64" i="6"/>
  <c r="I64" i="6" s="1"/>
  <c r="F36" i="6"/>
  <c r="I36" i="6" s="1"/>
  <c r="B73" i="6"/>
  <c r="F43" i="6"/>
  <c r="I43" i="6" s="1"/>
  <c r="F49" i="6"/>
  <c r="I49" i="6" s="1"/>
  <c r="C21" i="6"/>
  <c r="H12" i="6" s="1"/>
  <c r="I12" i="6" s="1"/>
  <c r="F32" i="6"/>
  <c r="I32" i="6" s="1"/>
  <c r="F52" i="6"/>
  <c r="I52" i="6" s="1"/>
  <c r="F40" i="6"/>
  <c r="I40" i="6" s="1"/>
  <c r="F59" i="6"/>
  <c r="I59" i="6" s="1"/>
  <c r="F31" i="6"/>
  <c r="I31" i="6" s="1"/>
  <c r="F44" i="6"/>
  <c r="I44" i="6" s="1"/>
  <c r="F33" i="6"/>
  <c r="I33" i="6" s="1"/>
  <c r="F62" i="6"/>
  <c r="I62" i="6" s="1"/>
  <c r="F34" i="6"/>
  <c r="I34" i="6" s="1"/>
  <c r="F37" i="6"/>
  <c r="I37" i="6" s="1"/>
  <c r="F56" i="6"/>
  <c r="I56" i="6" s="1"/>
  <c r="F35" i="6"/>
  <c r="I35" i="6" s="1"/>
  <c r="F60" i="6"/>
  <c r="I60" i="6" s="1"/>
  <c r="F63" i="6"/>
  <c r="I63" i="6" s="1"/>
  <c r="F58" i="6"/>
  <c r="I58" i="6" s="1"/>
  <c r="F53" i="6"/>
  <c r="I53" i="6" s="1"/>
  <c r="F57" i="6"/>
  <c r="I57" i="6" s="1"/>
  <c r="F47" i="6"/>
  <c r="I47" i="6" s="1"/>
  <c r="F41" i="6"/>
  <c r="I41" i="6" s="1"/>
  <c r="F55" i="6"/>
  <c r="I55" i="6" s="1"/>
  <c r="F61" i="6"/>
  <c r="I61" i="6" s="1"/>
  <c r="F54" i="6"/>
  <c r="I54" i="6" s="1"/>
  <c r="D29" i="6"/>
  <c r="H29" i="6" s="1"/>
  <c r="I29" i="6" s="1"/>
  <c r="F42" i="6"/>
  <c r="I42" i="6" s="1"/>
  <c r="F38" i="6"/>
  <c r="I38" i="6" s="1"/>
  <c r="F39" i="6"/>
  <c r="I39" i="6" s="1"/>
  <c r="M51" i="6" l="1"/>
  <c r="J29" i="6"/>
  <c r="J61" i="6"/>
  <c r="J43" i="6"/>
  <c r="J55" i="6"/>
  <c r="C73" i="6"/>
  <c r="D73" i="6"/>
  <c r="A74" i="6" s="1"/>
  <c r="B74" i="6" s="1"/>
  <c r="J44" i="6"/>
  <c r="J36" i="6"/>
  <c r="J51" i="6"/>
  <c r="J56" i="6"/>
  <c r="J52" i="6"/>
  <c r="J64" i="6"/>
  <c r="J46" i="6"/>
  <c r="J53" i="6"/>
  <c r="J32" i="6"/>
  <c r="J48" i="6"/>
  <c r="J50" i="6"/>
  <c r="J58" i="6"/>
  <c r="J42" i="6"/>
  <c r="J41" i="6"/>
  <c r="J63" i="6"/>
  <c r="J34" i="6"/>
  <c r="J31" i="6"/>
  <c r="J45" i="6"/>
  <c r="J30" i="6"/>
  <c r="J47" i="6"/>
  <c r="J60" i="6"/>
  <c r="J62" i="6"/>
  <c r="J59" i="6"/>
  <c r="J38" i="6"/>
  <c r="J37" i="6"/>
  <c r="J39" i="6"/>
  <c r="J54" i="6"/>
  <c r="J57" i="6"/>
  <c r="J35" i="6"/>
  <c r="J33" i="6"/>
  <c r="J40" i="6"/>
  <c r="J49" i="6"/>
  <c r="C74" i="6" l="1"/>
  <c r="D74" i="6"/>
  <c r="A75" i="6" s="1"/>
  <c r="B75" i="6" s="1"/>
  <c r="M50" i="6"/>
  <c r="C75" i="6" l="1"/>
  <c r="M54" i="6" s="1"/>
  <c r="D75" i="6"/>
  <c r="L68" i="6" s="1"/>
  <c r="M53" i="6"/>
  <c r="F92" i="6" l="1"/>
  <c r="F74" i="6"/>
  <c r="F94" i="6"/>
  <c r="F89" i="6"/>
  <c r="F78" i="6"/>
  <c r="F84" i="6"/>
  <c r="F91" i="6"/>
  <c r="F76" i="6"/>
  <c r="F90" i="6"/>
  <c r="F96" i="6"/>
  <c r="F86" i="6"/>
  <c r="F88" i="6"/>
  <c r="F75" i="6"/>
  <c r="F95" i="6"/>
  <c r="F83" i="6"/>
  <c r="F79" i="6"/>
  <c r="F87" i="6"/>
  <c r="F93" i="6"/>
  <c r="F85" i="6"/>
  <c r="F73" i="6"/>
  <c r="F77" i="6"/>
  <c r="F80" i="6"/>
  <c r="F82" i="6"/>
  <c r="F8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author>
  </authors>
  <commentList>
    <comment ref="B6" authorId="0" shapeId="0" xr:uid="{00000000-0006-0000-0000-000001000000}">
      <text>
        <r>
          <rPr>
            <b/>
            <sz val="9"/>
            <color indexed="81"/>
            <rFont val="Tahoma"/>
            <family val="2"/>
          </rPr>
          <t>TT:</t>
        </r>
        <r>
          <rPr>
            <sz val="9"/>
            <color indexed="81"/>
            <rFont val="Tahoma"/>
            <family val="2"/>
          </rPr>
          <t xml:space="preserve">
insert values into shaded cells</t>
        </r>
      </text>
    </comment>
    <comment ref="C6" authorId="0" shapeId="0" xr:uid="{00000000-0006-0000-0000-000002000000}">
      <text>
        <r>
          <rPr>
            <b/>
            <sz val="9"/>
            <color indexed="81"/>
            <rFont val="Tahoma"/>
            <family val="2"/>
          </rPr>
          <t>TT:</t>
        </r>
        <r>
          <rPr>
            <sz val="9"/>
            <color indexed="81"/>
            <rFont val="Tahoma"/>
            <family val="2"/>
          </rPr>
          <t xml:space="preserve">
Values for Maize from Trout and DeJonge 2017.</t>
        </r>
      </text>
    </comment>
    <comment ref="O19" authorId="0" shapeId="0" xr:uid="{00000000-0006-0000-0000-000003000000}">
      <text>
        <r>
          <rPr>
            <b/>
            <sz val="9"/>
            <color indexed="81"/>
            <rFont val="Tahoma"/>
            <family val="2"/>
          </rPr>
          <t>TT:</t>
        </r>
        <r>
          <rPr>
            <sz val="9"/>
            <color indexed="81"/>
            <rFont val="Tahoma"/>
            <family val="2"/>
          </rPr>
          <t xml:space="preserve">
insert values into shaded cells</t>
        </r>
      </text>
    </comment>
    <comment ref="Q19" authorId="0" shapeId="0" xr:uid="{00000000-0006-0000-0000-000004000000}">
      <text>
        <r>
          <rPr>
            <b/>
            <sz val="9"/>
            <color indexed="81"/>
            <rFont val="Tahoma"/>
            <family val="2"/>
          </rPr>
          <t>TT:</t>
        </r>
        <r>
          <rPr>
            <sz val="9"/>
            <color indexed="81"/>
            <rFont val="Tahoma"/>
            <family val="2"/>
          </rPr>
          <t xml:space="preserve">
insert values into shaded cells</t>
        </r>
      </text>
    </comment>
    <comment ref="S19" authorId="0" shapeId="0" xr:uid="{00000000-0006-0000-0000-000005000000}">
      <text>
        <r>
          <rPr>
            <b/>
            <sz val="9"/>
            <color indexed="81"/>
            <rFont val="Tahoma"/>
            <family val="2"/>
          </rPr>
          <t>TT:</t>
        </r>
        <r>
          <rPr>
            <sz val="9"/>
            <color indexed="81"/>
            <rFont val="Tahoma"/>
            <family val="2"/>
          </rPr>
          <t xml:space="preserve">
insert values into shaded cells</t>
        </r>
      </text>
    </comment>
    <comment ref="A33" authorId="0" shapeId="0" xr:uid="{00000000-0006-0000-0000-000006000000}">
      <text>
        <r>
          <rPr>
            <b/>
            <sz val="9"/>
            <color indexed="81"/>
            <rFont val="Tahoma"/>
            <family val="2"/>
          </rPr>
          <t>TT:</t>
        </r>
        <r>
          <rPr>
            <sz val="9"/>
            <color indexed="81"/>
            <rFont val="Tahoma"/>
            <family val="2"/>
          </rPr>
          <t xml:space="preserve">
c value for a given x0 for which dY/dx=1 at x=1.  (WP always &lt;1 for larger x0.)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Trout, Thomas</author>
    <author>TT</author>
  </authors>
  <commentList>
    <comment ref="D6" authorId="0" shapeId="0" xr:uid="{2237209E-8C79-44ED-912F-C09B13C834AE}">
      <text>
        <r>
          <rPr>
            <b/>
            <sz val="9"/>
            <color indexed="81"/>
            <rFont val="Tahoma"/>
            <family val="2"/>
          </rPr>
          <t>Trout, Thomas:</t>
        </r>
        <r>
          <rPr>
            <sz val="9"/>
            <color indexed="81"/>
            <rFont val="Tahoma"/>
            <family val="2"/>
          </rPr>
          <t xml:space="preserve">
Wc (mm) with historic full irrigation (ETp - Re - Se)</t>
        </r>
      </text>
    </comment>
    <comment ref="E6" authorId="1" shapeId="0" xr:uid="{00000000-0006-0000-0200-000002000000}">
      <text>
        <r>
          <rPr>
            <b/>
            <sz val="9"/>
            <color indexed="81"/>
            <rFont val="Tahoma"/>
            <family val="2"/>
          </rPr>
          <t>TT:</t>
        </r>
        <r>
          <rPr>
            <sz val="9"/>
            <color indexed="81"/>
            <rFont val="Tahoma"/>
            <family val="2"/>
          </rPr>
          <t xml:space="preserve">
Insert prices into shaded cells.</t>
        </r>
      </text>
    </comment>
    <comment ref="C9" authorId="1" shapeId="0" xr:uid="{00000000-0006-0000-0200-000001000000}">
      <text>
        <r>
          <rPr>
            <b/>
            <sz val="9"/>
            <color indexed="81"/>
            <rFont val="Tahoma"/>
            <family val="2"/>
          </rPr>
          <t>TT:</t>
        </r>
        <r>
          <rPr>
            <sz val="9"/>
            <color indexed="81"/>
            <rFont val="Tahoma"/>
            <family val="2"/>
          </rPr>
          <t xml:space="preserve">
Insert data into shaded cells</t>
        </r>
      </text>
    </comment>
    <comment ref="L68" authorId="0" shapeId="0" xr:uid="{DDFA06BD-349A-4365-8731-8715E6552151}">
      <text>
        <r>
          <rPr>
            <b/>
            <sz val="9"/>
            <color indexed="81"/>
            <rFont val="Tahoma"/>
            <family val="2"/>
          </rPr>
          <t>Trout, Thomas:</t>
        </r>
        <r>
          <rPr>
            <sz val="9"/>
            <color indexed="81"/>
            <rFont val="Tahoma"/>
            <family val="2"/>
          </rPr>
          <t xml:space="preserve">
Ei at xop'</t>
        </r>
      </text>
    </comment>
    <comment ref="B72" authorId="1" shapeId="0" xr:uid="{00000000-0006-0000-0200-000005000000}">
      <text>
        <r>
          <rPr>
            <b/>
            <sz val="9"/>
            <color indexed="81"/>
            <rFont val="Tahoma"/>
            <family val="2"/>
          </rPr>
          <t>TT:</t>
        </r>
        <r>
          <rPr>
            <sz val="9"/>
            <color indexed="81"/>
            <rFont val="Tahoma"/>
            <family val="2"/>
          </rPr>
          <t xml:space="preserve">
Xop' for the selected Ei.</t>
        </r>
      </text>
    </comment>
    <comment ref="D72" authorId="1" shapeId="0" xr:uid="{00000000-0006-0000-0200-000006000000}">
      <text>
        <r>
          <rPr>
            <b/>
            <sz val="9"/>
            <color indexed="81"/>
            <rFont val="Tahoma"/>
            <family val="2"/>
          </rPr>
          <t>TT:</t>
        </r>
        <r>
          <rPr>
            <sz val="9"/>
            <color indexed="81"/>
            <rFont val="Tahoma"/>
            <family val="2"/>
          </rPr>
          <t xml:space="preserve">
Ei for the calculated xop.</t>
        </r>
      </text>
    </comment>
    <comment ref="F72" authorId="1" shapeId="0" xr:uid="{00000000-0006-0000-0200-000004000000}">
      <text>
        <r>
          <rPr>
            <b/>
            <sz val="9"/>
            <color indexed="81"/>
            <rFont val="Tahoma"/>
            <family val="2"/>
          </rPr>
          <t>TT:</t>
        </r>
        <r>
          <rPr>
            <sz val="9"/>
            <color indexed="81"/>
            <rFont val="Tahoma"/>
            <family val="2"/>
          </rPr>
          <t xml:space="preserve">
Eq. 21, approximate solution with Ei from L68.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Trout, Thomas</author>
    <author>TT</author>
  </authors>
  <commentList>
    <comment ref="D6" authorId="0" shapeId="0" xr:uid="{9D1AA721-221B-4998-BF29-5D1D29517048}">
      <text>
        <r>
          <rPr>
            <b/>
            <sz val="9"/>
            <color indexed="81"/>
            <rFont val="Tahoma"/>
            <family val="2"/>
          </rPr>
          <t>Trout, Thomas:</t>
        </r>
        <r>
          <rPr>
            <sz val="9"/>
            <color indexed="81"/>
            <rFont val="Tahoma"/>
            <family val="2"/>
          </rPr>
          <t xml:space="preserve">
Ws (mm) with historic full irrigation (ETp - Re - Se)/Ei</t>
        </r>
      </text>
    </comment>
    <comment ref="E6" authorId="1" shapeId="0" xr:uid="{EB23D080-F22D-4C36-BB75-CFD2AB178954}">
      <text>
        <r>
          <rPr>
            <b/>
            <sz val="9"/>
            <color indexed="81"/>
            <rFont val="Tahoma"/>
            <family val="2"/>
          </rPr>
          <t>TT:</t>
        </r>
        <r>
          <rPr>
            <sz val="9"/>
            <color indexed="81"/>
            <rFont val="Tahoma"/>
            <family val="2"/>
          </rPr>
          <t xml:space="preserve">
Insert prices into shaded cells.</t>
        </r>
      </text>
    </comment>
    <comment ref="C9" authorId="1" shapeId="0" xr:uid="{93F0EC46-14FF-4177-BF0B-06D552C77B9A}">
      <text>
        <r>
          <rPr>
            <b/>
            <sz val="9"/>
            <color indexed="81"/>
            <rFont val="Tahoma"/>
            <family val="2"/>
          </rPr>
          <t>TT:</t>
        </r>
        <r>
          <rPr>
            <sz val="9"/>
            <color indexed="81"/>
            <rFont val="Tahoma"/>
            <family val="2"/>
          </rPr>
          <t xml:space="preserve">
Insert data into shaded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TT</author>
  </authors>
  <commentList>
    <comment ref="B10" authorId="0" shapeId="0" xr:uid="{00000000-0006-0000-0300-000001000000}">
      <text>
        <r>
          <rPr>
            <b/>
            <sz val="9"/>
            <color indexed="81"/>
            <rFont val="Tahoma"/>
            <family val="2"/>
          </rPr>
          <t>TT:</t>
        </r>
        <r>
          <rPr>
            <sz val="9"/>
            <color indexed="81"/>
            <rFont val="Tahoma"/>
            <family val="2"/>
          </rPr>
          <t xml:space="preserve">
Xop for  Ei from cell L7.</t>
        </r>
      </text>
    </comment>
    <comment ref="E10" authorId="0" shapeId="0" xr:uid="{00000000-0006-0000-0300-000002000000}">
      <text>
        <r>
          <rPr>
            <b/>
            <sz val="9"/>
            <color indexed="81"/>
            <rFont val="Tahoma"/>
            <family val="2"/>
          </rPr>
          <t>TT:</t>
        </r>
        <r>
          <rPr>
            <sz val="9"/>
            <color indexed="81"/>
            <rFont val="Tahoma"/>
            <family val="2"/>
          </rPr>
          <t xml:space="preserve">
Xop for the Ei calculated in column D.</t>
        </r>
      </text>
    </comment>
  </commentList>
</comments>
</file>

<file path=xl/sharedStrings.xml><?xml version="1.0" encoding="utf-8"?>
<sst xmlns="http://schemas.openxmlformats.org/spreadsheetml/2006/main" count="439" uniqueCount="224">
  <si>
    <t>Normalized WPF</t>
  </si>
  <si>
    <t>2nd degree polynomial</t>
  </si>
  <si>
    <t>Rel ET</t>
  </si>
  <si>
    <t>Rel Y</t>
  </si>
  <si>
    <t>dY/dx</t>
  </si>
  <si>
    <t>x</t>
  </si>
  <si>
    <t>Y</t>
  </si>
  <si>
    <t>WP = Y/x</t>
  </si>
  <si>
    <t>WP = 1</t>
  </si>
  <si>
    <t>WP max</t>
  </si>
  <si>
    <t>dY/dx( x=1)</t>
  </si>
  <si>
    <t>WP=1</t>
  </si>
  <si>
    <t>Normalized Soil Water Storage Efficiency, Es</t>
  </si>
  <si>
    <t>Normalized Irrigation Efficiency, Ei</t>
  </si>
  <si>
    <t>x = relative ET</t>
  </si>
  <si>
    <t>mm</t>
  </si>
  <si>
    <t>ET</t>
  </si>
  <si>
    <t>Ei</t>
  </si>
  <si>
    <t>Es</t>
  </si>
  <si>
    <t>Suggested Values</t>
  </si>
  <si>
    <t>A</t>
  </si>
  <si>
    <t>B</t>
  </si>
  <si>
    <t>C</t>
  </si>
  <si>
    <t>kg/ha</t>
  </si>
  <si>
    <t>Yield</t>
  </si>
  <si>
    <t>D</t>
  </si>
  <si>
    <t>F</t>
  </si>
  <si>
    <t>G</t>
  </si>
  <si>
    <t>H</t>
  </si>
  <si>
    <t>J</t>
  </si>
  <si>
    <t>K</t>
  </si>
  <si>
    <t>S(mm)</t>
  </si>
  <si>
    <t>L</t>
  </si>
  <si>
    <t>M</t>
  </si>
  <si>
    <t>N</t>
  </si>
  <si>
    <t>Wc (mm)</t>
  </si>
  <si>
    <t>Prices</t>
  </si>
  <si>
    <t>Py ($/kg)</t>
  </si>
  <si>
    <t>Pw ($/mm)</t>
  </si>
  <si>
    <t>Pp ($/kg)</t>
  </si>
  <si>
    <t>Pps ($)</t>
  </si>
  <si>
    <t>Pi ($/mm)</t>
  </si>
  <si>
    <t>Py*Y</t>
  </si>
  <si>
    <t>Pp*Y+Pps</t>
  </si>
  <si>
    <t>$/ha</t>
  </si>
  <si>
    <t>Kg/ha</t>
  </si>
  <si>
    <t>xop</t>
  </si>
  <si>
    <t>Ei1=</t>
  </si>
  <si>
    <t>Ei = Ei1 for x=1</t>
  </si>
  <si>
    <t>A =</t>
  </si>
  <si>
    <t>B =</t>
  </si>
  <si>
    <t>C =</t>
  </si>
  <si>
    <r>
      <t>x</t>
    </r>
    <r>
      <rPr>
        <vertAlign val="subscript"/>
        <sz val="11"/>
        <color theme="1"/>
        <rFont val="Calibri"/>
        <family val="2"/>
        <scheme val="minor"/>
      </rPr>
      <t xml:space="preserve">0 </t>
    </r>
    <r>
      <rPr>
        <sz val="11"/>
        <color theme="1"/>
        <rFont val="Calibri"/>
        <family val="2"/>
        <scheme val="minor"/>
      </rPr>
      <t>=</t>
    </r>
  </si>
  <si>
    <r>
      <t>x</t>
    </r>
    <r>
      <rPr>
        <vertAlign val="subscript"/>
        <sz val="11"/>
        <color theme="1"/>
        <rFont val="Calibri"/>
        <family val="2"/>
        <scheme val="minor"/>
      </rPr>
      <t xml:space="preserve">2 </t>
    </r>
    <r>
      <rPr>
        <sz val="11"/>
        <color theme="1"/>
        <rFont val="Calibri"/>
        <family val="2"/>
        <scheme val="minor"/>
      </rPr>
      <t>=</t>
    </r>
  </si>
  <si>
    <r>
      <rPr>
        <i/>
        <sz val="11"/>
        <color theme="1"/>
        <rFont val="Calibri"/>
        <family val="2"/>
        <scheme val="minor"/>
      </rPr>
      <t>Y</t>
    </r>
    <r>
      <rPr>
        <vertAlign val="subscript"/>
        <sz val="11"/>
        <color theme="1"/>
        <rFont val="Calibri"/>
        <family val="2"/>
        <scheme val="minor"/>
      </rPr>
      <t xml:space="preserve">2 </t>
    </r>
    <r>
      <rPr>
        <sz val="11"/>
        <color theme="1"/>
        <rFont val="Calibri"/>
        <family val="2"/>
        <scheme val="minor"/>
      </rPr>
      <t>=</t>
    </r>
  </si>
  <si>
    <t>x=(-(B-1)+SQRT((B-1)^2-4Ac))/(2*C)</t>
  </si>
  <si>
    <t>x=SQRT(A/C)</t>
  </si>
  <si>
    <t>C(max)</t>
  </si>
  <si>
    <r>
      <t>x</t>
    </r>
    <r>
      <rPr>
        <vertAlign val="subscript"/>
        <sz val="11"/>
        <color theme="1"/>
        <rFont val="Calibri"/>
        <family val="2"/>
        <scheme val="minor"/>
      </rPr>
      <t>1</t>
    </r>
    <r>
      <rPr>
        <sz val="11"/>
        <color theme="1"/>
        <rFont val="Calibri"/>
        <family val="2"/>
        <scheme val="minor"/>
      </rPr>
      <t xml:space="preserve"> =</t>
    </r>
  </si>
  <si>
    <r>
      <t>Ei = L + Mx + Nx</t>
    </r>
    <r>
      <rPr>
        <vertAlign val="superscript"/>
        <sz val="11"/>
        <color theme="1"/>
        <rFont val="Calibri"/>
        <family val="2"/>
        <scheme val="minor"/>
      </rPr>
      <t>2</t>
    </r>
  </si>
  <si>
    <t>N =</t>
  </si>
  <si>
    <t>L =</t>
  </si>
  <si>
    <t>M =</t>
  </si>
  <si>
    <t>Normalized Precipitation Efficiency, Er</t>
  </si>
  <si>
    <t>G =</t>
  </si>
  <si>
    <t>F =</t>
  </si>
  <si>
    <t>D =</t>
  </si>
  <si>
    <r>
      <t>Er = Er</t>
    </r>
    <r>
      <rPr>
        <vertAlign val="subscript"/>
        <sz val="11"/>
        <color theme="1"/>
        <rFont val="Calibri"/>
        <family val="2"/>
        <scheme val="minor"/>
      </rPr>
      <t>1</t>
    </r>
    <r>
      <rPr>
        <sz val="11"/>
        <color theme="1"/>
        <rFont val="Calibri"/>
        <family val="2"/>
        <scheme val="minor"/>
      </rPr>
      <t xml:space="preserve"> for x=1</t>
    </r>
  </si>
  <si>
    <r>
      <t>Er = 1 for x = x</t>
    </r>
    <r>
      <rPr>
        <vertAlign val="subscript"/>
        <sz val="11"/>
        <color theme="1"/>
        <rFont val="Calibri"/>
        <family val="2"/>
        <scheme val="minor"/>
      </rPr>
      <t>r</t>
    </r>
  </si>
  <si>
    <r>
      <t>Er</t>
    </r>
    <r>
      <rPr>
        <vertAlign val="subscript"/>
        <sz val="11"/>
        <color theme="1"/>
        <rFont val="Calibri"/>
        <family val="2"/>
        <scheme val="minor"/>
      </rPr>
      <t>1</t>
    </r>
    <r>
      <rPr>
        <sz val="11"/>
        <color theme="1"/>
        <rFont val="Calibri"/>
        <family val="2"/>
        <scheme val="minor"/>
      </rPr>
      <t>=</t>
    </r>
  </si>
  <si>
    <r>
      <t>x</t>
    </r>
    <r>
      <rPr>
        <vertAlign val="subscript"/>
        <sz val="11"/>
        <color theme="1"/>
        <rFont val="Calibri"/>
        <family val="2"/>
        <scheme val="minor"/>
      </rPr>
      <t>r</t>
    </r>
    <r>
      <rPr>
        <sz val="11"/>
        <color theme="1"/>
        <rFont val="Calibri"/>
        <family val="2"/>
        <scheme val="minor"/>
      </rPr>
      <t xml:space="preserve"> =</t>
    </r>
  </si>
  <si>
    <r>
      <t>F = (Er</t>
    </r>
    <r>
      <rPr>
        <vertAlign val="subscript"/>
        <sz val="11"/>
        <color theme="1"/>
        <rFont val="Calibri"/>
        <family val="2"/>
        <scheme val="minor"/>
      </rPr>
      <t>1</t>
    </r>
    <r>
      <rPr>
        <sz val="11"/>
        <color theme="1"/>
        <rFont val="Calibri"/>
        <family val="2"/>
        <scheme val="minor"/>
      </rPr>
      <t xml:space="preserve"> - 1 - G(1-x</t>
    </r>
    <r>
      <rPr>
        <vertAlign val="subscript"/>
        <sz val="11"/>
        <color theme="1"/>
        <rFont val="Calibri"/>
        <family val="2"/>
        <scheme val="minor"/>
      </rPr>
      <t>r</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r</t>
    </r>
    <r>
      <rPr>
        <sz val="11"/>
        <color theme="1"/>
        <rFont val="Calibri"/>
        <family val="2"/>
        <scheme val="minor"/>
      </rPr>
      <t>)</t>
    </r>
  </si>
  <si>
    <r>
      <t>D = Er</t>
    </r>
    <r>
      <rPr>
        <vertAlign val="subscript"/>
        <sz val="11"/>
        <color theme="1"/>
        <rFont val="Calibri"/>
        <family val="2"/>
        <scheme val="minor"/>
      </rPr>
      <t>1</t>
    </r>
    <r>
      <rPr>
        <sz val="11"/>
        <color theme="1"/>
        <rFont val="Calibri"/>
        <family val="2"/>
        <scheme val="minor"/>
      </rPr>
      <t xml:space="preserve"> - F - G</t>
    </r>
  </si>
  <si>
    <r>
      <t>Es = 1 for x = x</t>
    </r>
    <r>
      <rPr>
        <vertAlign val="subscript"/>
        <sz val="11"/>
        <color theme="1"/>
        <rFont val="Calibri"/>
        <family val="2"/>
        <scheme val="minor"/>
      </rPr>
      <t>s</t>
    </r>
  </si>
  <si>
    <r>
      <t>Es</t>
    </r>
    <r>
      <rPr>
        <vertAlign val="subscript"/>
        <sz val="11"/>
        <color theme="1"/>
        <rFont val="Calibri"/>
        <family val="2"/>
        <scheme val="minor"/>
      </rPr>
      <t>1</t>
    </r>
    <r>
      <rPr>
        <sz val="11"/>
        <color theme="1"/>
        <rFont val="Calibri"/>
        <family val="2"/>
        <scheme val="minor"/>
      </rPr>
      <t xml:space="preserve"> =</t>
    </r>
  </si>
  <si>
    <r>
      <t>x</t>
    </r>
    <r>
      <rPr>
        <vertAlign val="subscript"/>
        <sz val="11"/>
        <color theme="1"/>
        <rFont val="Calibri"/>
        <family val="2"/>
        <scheme val="minor"/>
      </rPr>
      <t>s</t>
    </r>
    <r>
      <rPr>
        <sz val="11"/>
        <color theme="1"/>
        <rFont val="Calibri"/>
        <family val="2"/>
        <scheme val="minor"/>
      </rPr>
      <t xml:space="preserve"> =</t>
    </r>
  </si>
  <si>
    <t>K =</t>
  </si>
  <si>
    <t>J =</t>
  </si>
  <si>
    <t>H =</t>
  </si>
  <si>
    <t>Es = 0 for x=1</t>
  </si>
  <si>
    <t>H = - J - K</t>
  </si>
  <si>
    <r>
      <t>J = (-1 - K(1 - x</t>
    </r>
    <r>
      <rPr>
        <vertAlign val="subscript"/>
        <sz val="11"/>
        <color theme="1"/>
        <rFont val="Calibri"/>
        <family val="2"/>
        <scheme val="minor"/>
      </rPr>
      <t>s</t>
    </r>
    <r>
      <rPr>
        <vertAlign val="superscript"/>
        <sz val="11"/>
        <color theme="1"/>
        <rFont val="Calibri"/>
        <family val="2"/>
        <scheme val="minor"/>
      </rPr>
      <t>2</t>
    </r>
    <r>
      <rPr>
        <sz val="11"/>
        <color theme="1"/>
        <rFont val="Calibri"/>
        <family val="2"/>
        <scheme val="minor"/>
      </rPr>
      <t>)/(1 - x</t>
    </r>
    <r>
      <rPr>
        <vertAlign val="subscript"/>
        <sz val="11"/>
        <color theme="1"/>
        <rFont val="Calibri"/>
        <family val="2"/>
        <scheme val="minor"/>
      </rPr>
      <t>s</t>
    </r>
    <r>
      <rPr>
        <sz val="11"/>
        <color theme="1"/>
        <rFont val="Calibri"/>
        <family val="2"/>
        <scheme val="minor"/>
      </rPr>
      <t>)</t>
    </r>
  </si>
  <si>
    <r>
      <t>M = (Ei</t>
    </r>
    <r>
      <rPr>
        <vertAlign val="subscript"/>
        <sz val="11"/>
        <color theme="1"/>
        <rFont val="Calibri"/>
        <family val="2"/>
        <scheme val="minor"/>
      </rPr>
      <t>1</t>
    </r>
    <r>
      <rPr>
        <sz val="11"/>
        <color theme="1"/>
        <rFont val="Calibri"/>
        <family val="2"/>
        <scheme val="minor"/>
      </rPr>
      <t xml:space="preserve"> - 1 - N*(1-x</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i</t>
    </r>
    <r>
      <rPr>
        <sz val="11"/>
        <color theme="1"/>
        <rFont val="Calibri"/>
        <family val="2"/>
        <scheme val="minor"/>
      </rPr>
      <t>)</t>
    </r>
  </si>
  <si>
    <r>
      <t>L = Ei</t>
    </r>
    <r>
      <rPr>
        <vertAlign val="subscript"/>
        <sz val="11"/>
        <color theme="1"/>
        <rFont val="Calibri"/>
        <family val="2"/>
        <scheme val="minor"/>
      </rPr>
      <t>1</t>
    </r>
    <r>
      <rPr>
        <sz val="11"/>
        <color theme="1"/>
        <rFont val="Calibri"/>
        <family val="2"/>
        <scheme val="minor"/>
      </rPr>
      <t xml:space="preserve"> - M - N</t>
    </r>
  </si>
  <si>
    <t>Irrigation Requirement and Supply</t>
  </si>
  <si>
    <t>Re</t>
  </si>
  <si>
    <t>Se</t>
  </si>
  <si>
    <t>ETp</t>
  </si>
  <si>
    <t>Three Marketable ET values for a historically fully irrigated field are calculated and shown on the figure with 3 different assumptions.  Historic CU is calculated as historic ET minus effective precipitation under fully irrigated conditions.  Method 1 assumes precipitation use efficiency does not change with relative ET, and no net use of water from soil water storage.  Method 2 assumes precipitation use efficiency does increase with declining ET and no net use of water from soil water storage.  Method 3 assumes precipitation use efficiency does increase with declining ET and net water use from soil water storage increases with declining ET.</t>
  </si>
  <si>
    <t>Net Income Economic Model</t>
  </si>
  <si>
    <r>
      <t>Net Income = Py*</t>
    </r>
    <r>
      <rPr>
        <i/>
        <sz val="11"/>
        <color theme="1"/>
        <rFont val="Calibri"/>
        <family val="2"/>
        <scheme val="minor"/>
      </rPr>
      <t>Y</t>
    </r>
    <r>
      <rPr>
        <sz val="11"/>
        <color theme="1"/>
        <rFont val="Calibri"/>
        <family val="2"/>
        <scheme val="minor"/>
      </rPr>
      <t xml:space="preserve"> + Pw(Wc - I</t>
    </r>
    <r>
      <rPr>
        <vertAlign val="subscript"/>
        <sz val="11"/>
        <color theme="1"/>
        <rFont val="Calibri"/>
        <family val="2"/>
        <scheme val="minor"/>
      </rPr>
      <t>R</t>
    </r>
    <r>
      <rPr>
        <sz val="11"/>
        <color theme="1"/>
        <rFont val="Calibri"/>
        <family val="2"/>
        <scheme val="minor"/>
      </rPr>
      <t>) - Pps - Pp*Y - Pi*I</t>
    </r>
    <r>
      <rPr>
        <vertAlign val="subscript"/>
        <sz val="11"/>
        <color theme="1"/>
        <rFont val="Calibri"/>
        <family val="2"/>
        <scheme val="minor"/>
      </rPr>
      <t>S</t>
    </r>
  </si>
  <si>
    <t>Yp (kg/ha)</t>
  </si>
  <si>
    <r>
      <rPr>
        <sz val="11"/>
        <color theme="1"/>
        <rFont val="Calibri"/>
        <family val="2"/>
        <scheme val="minor"/>
      </rPr>
      <t>Yp</t>
    </r>
    <r>
      <rPr>
        <i/>
        <sz val="11"/>
        <color theme="1"/>
        <rFont val="Calibri"/>
        <family val="2"/>
        <scheme val="minor"/>
      </rPr>
      <t xml:space="preserve"> (kg/ha)</t>
    </r>
  </si>
  <si>
    <r>
      <rPr>
        <sz val="11"/>
        <color theme="1"/>
        <rFont val="Calibri"/>
        <family val="2"/>
        <scheme val="minor"/>
      </rPr>
      <t>ETp</t>
    </r>
    <r>
      <rPr>
        <i/>
        <sz val="11"/>
        <color theme="1"/>
        <rFont val="Calibri"/>
        <family val="2"/>
        <scheme val="minor"/>
      </rPr>
      <t xml:space="preserve"> (mm)</t>
    </r>
  </si>
  <si>
    <t>R (mm)</t>
  </si>
  <si>
    <r>
      <t>Y = A + Bx + Cx</t>
    </r>
    <r>
      <rPr>
        <vertAlign val="superscript"/>
        <sz val="11"/>
        <color theme="1"/>
        <rFont val="Calibri"/>
        <family val="2"/>
        <scheme val="minor"/>
      </rPr>
      <t>2</t>
    </r>
  </si>
  <si>
    <r>
      <t>Se = (H + Jx + Kx</t>
    </r>
    <r>
      <rPr>
        <vertAlign val="superscript"/>
        <sz val="11"/>
        <color theme="1"/>
        <rFont val="Calibri"/>
        <family val="2"/>
        <scheme val="minor"/>
      </rPr>
      <t>2</t>
    </r>
    <r>
      <rPr>
        <sz val="11"/>
        <color theme="1"/>
        <rFont val="Calibri"/>
        <family val="2"/>
        <scheme val="minor"/>
      </rPr>
      <t>)*S</t>
    </r>
  </si>
  <si>
    <r>
      <t>I</t>
    </r>
    <r>
      <rPr>
        <vertAlign val="subscript"/>
        <sz val="11"/>
        <color theme="1"/>
        <rFont val="Calibri"/>
        <family val="2"/>
        <scheme val="minor"/>
      </rPr>
      <t>R</t>
    </r>
    <r>
      <rPr>
        <sz val="11"/>
        <color theme="1"/>
        <rFont val="Calibri"/>
        <family val="2"/>
        <scheme val="minor"/>
      </rPr>
      <t xml:space="preserve"> = ET - Pe - Se</t>
    </r>
  </si>
  <si>
    <r>
      <t>I</t>
    </r>
    <r>
      <rPr>
        <vertAlign val="subscript"/>
        <sz val="11"/>
        <color theme="1"/>
        <rFont val="Calibri"/>
        <family val="2"/>
        <scheme val="minor"/>
      </rPr>
      <t>S</t>
    </r>
    <r>
      <rPr>
        <sz val="11"/>
        <color theme="1"/>
        <rFont val="Calibri"/>
        <family val="2"/>
        <scheme val="minor"/>
      </rPr>
      <t xml:space="preserve"> = I</t>
    </r>
    <r>
      <rPr>
        <vertAlign val="subscript"/>
        <sz val="11"/>
        <color theme="1"/>
        <rFont val="Calibri"/>
        <family val="2"/>
        <scheme val="minor"/>
      </rPr>
      <t>R</t>
    </r>
    <r>
      <rPr>
        <sz val="11"/>
        <color theme="1"/>
        <rFont val="Calibri"/>
        <family val="2"/>
        <scheme val="minor"/>
      </rPr>
      <t>/Ei</t>
    </r>
  </si>
  <si>
    <r>
      <t>(Note:  1 ha-mm = 10 m</t>
    </r>
    <r>
      <rPr>
        <i/>
        <vertAlign val="superscript"/>
        <sz val="11"/>
        <color theme="1"/>
        <rFont val="Calibri"/>
        <family val="2"/>
        <scheme val="minor"/>
      </rPr>
      <t>3</t>
    </r>
    <r>
      <rPr>
        <i/>
        <sz val="11"/>
        <color theme="1"/>
        <rFont val="Calibri"/>
        <family val="2"/>
        <scheme val="minor"/>
      </rPr>
      <t>)</t>
    </r>
  </si>
  <si>
    <r>
      <t>(Note:  1 ha-mm = 10 m</t>
    </r>
    <r>
      <rPr>
        <i/>
        <vertAlign val="superscript"/>
        <sz val="11"/>
        <color theme="1"/>
        <rFont val="Calibri"/>
        <family val="2"/>
        <scheme val="minor"/>
      </rPr>
      <t xml:space="preserve">3 </t>
    </r>
    <r>
      <rPr>
        <i/>
        <sz val="11"/>
        <color theme="1"/>
        <rFont val="Calibri"/>
        <family val="2"/>
        <scheme val="minor"/>
      </rPr>
      <t>; $1/(ha-mm) = $10/m</t>
    </r>
    <r>
      <rPr>
        <i/>
        <vertAlign val="superscript"/>
        <sz val="11"/>
        <color theme="1"/>
        <rFont val="Calibri"/>
        <family val="2"/>
        <scheme val="minor"/>
      </rPr>
      <t>3</t>
    </r>
    <r>
      <rPr>
        <i/>
        <sz val="11"/>
        <color theme="1"/>
        <rFont val="Calibri"/>
        <family val="2"/>
        <scheme val="minor"/>
      </rPr>
      <t>)</t>
    </r>
  </si>
  <si>
    <t>Py ($/bu)</t>
  </si>
  <si>
    <t>Pp ($/bu)</t>
  </si>
  <si>
    <r>
      <t>Pw ($/m</t>
    </r>
    <r>
      <rPr>
        <vertAlign val="superscript"/>
        <sz val="11"/>
        <color theme="1"/>
        <rFont val="Calibri"/>
        <family val="2"/>
        <scheme val="minor"/>
      </rPr>
      <t>3</t>
    </r>
    <r>
      <rPr>
        <sz val="11"/>
        <color theme="1"/>
        <rFont val="Calibri"/>
        <family val="2"/>
        <scheme val="minor"/>
      </rPr>
      <t>)</t>
    </r>
  </si>
  <si>
    <r>
      <t>Pi ($/m</t>
    </r>
    <r>
      <rPr>
        <vertAlign val="superscript"/>
        <sz val="11"/>
        <color theme="1"/>
        <rFont val="Calibri"/>
        <family val="2"/>
        <scheme val="minor"/>
      </rPr>
      <t>3</t>
    </r>
    <r>
      <rPr>
        <sz val="11"/>
        <color theme="1"/>
        <rFont val="Calibri"/>
        <family val="2"/>
        <scheme val="minor"/>
      </rPr>
      <t>)</t>
    </r>
  </si>
  <si>
    <r>
      <t>Pi*I</t>
    </r>
    <r>
      <rPr>
        <vertAlign val="subscript"/>
        <sz val="11"/>
        <color theme="1"/>
        <rFont val="Calibri"/>
        <family val="2"/>
        <scheme val="minor"/>
      </rPr>
      <t>S</t>
    </r>
  </si>
  <si>
    <r>
      <t>Pw*(Wc-I</t>
    </r>
    <r>
      <rPr>
        <vertAlign val="subscript"/>
        <sz val="11"/>
        <color theme="1"/>
        <rFont val="Calibri"/>
        <family val="2"/>
        <scheme val="minor"/>
      </rPr>
      <t>R</t>
    </r>
    <r>
      <rPr>
        <sz val="11"/>
        <color theme="1"/>
        <rFont val="Calibri"/>
        <family val="2"/>
        <scheme val="minor"/>
      </rPr>
      <t>)</t>
    </r>
  </si>
  <si>
    <r>
      <t>I</t>
    </r>
    <r>
      <rPr>
        <vertAlign val="subscript"/>
        <sz val="11"/>
        <color theme="1"/>
        <rFont val="Calibri"/>
        <family val="2"/>
        <scheme val="minor"/>
      </rPr>
      <t>R</t>
    </r>
  </si>
  <si>
    <r>
      <t>I</t>
    </r>
    <r>
      <rPr>
        <vertAlign val="subscript"/>
        <sz val="11"/>
        <color theme="1"/>
        <rFont val="Calibri"/>
        <family val="2"/>
        <scheme val="minor"/>
      </rPr>
      <t>S</t>
    </r>
  </si>
  <si>
    <t>Net Income Version 2</t>
  </si>
  <si>
    <t>ETp (mm)</t>
  </si>
  <si>
    <r>
      <t>NI</t>
    </r>
    <r>
      <rPr>
        <vertAlign val="subscript"/>
        <sz val="11"/>
        <color theme="1"/>
        <rFont val="Calibri"/>
        <family val="2"/>
        <scheme val="minor"/>
      </rPr>
      <t>M</t>
    </r>
  </si>
  <si>
    <t>Yield Income</t>
  </si>
  <si>
    <t>Yield Cost</t>
  </si>
  <si>
    <t>Water Cost</t>
  </si>
  <si>
    <t>Net Income</t>
  </si>
  <si>
    <t>NI</t>
  </si>
  <si>
    <t>(approximate direct solution with Ei fixed)</t>
  </si>
  <si>
    <r>
      <t>x</t>
    </r>
    <r>
      <rPr>
        <vertAlign val="subscript"/>
        <sz val="11"/>
        <color theme="1"/>
        <rFont val="Calibri"/>
        <family val="2"/>
        <scheme val="minor"/>
      </rPr>
      <t>op</t>
    </r>
  </si>
  <si>
    <t>Pw</t>
  </si>
  <si>
    <t>NIM</t>
  </si>
  <si>
    <t>Py = $0.20</t>
  </si>
  <si>
    <t>Py = $0.15</t>
  </si>
  <si>
    <t>Py = $0.25</t>
  </si>
  <si>
    <t>NE Colo Crop Enterprise Budget</t>
  </si>
  <si>
    <t>Comparison for different Input Parameters</t>
  </si>
  <si>
    <r>
      <t>(Note:  1 ha-mm = 10 m</t>
    </r>
    <r>
      <rPr>
        <i/>
        <vertAlign val="superscript"/>
        <sz val="11"/>
        <color theme="1"/>
        <rFont val="Calibri"/>
        <family val="2"/>
        <scheme val="minor"/>
      </rPr>
      <t xml:space="preserve">3 </t>
    </r>
    <r>
      <rPr>
        <i/>
        <sz val="11"/>
        <color theme="1"/>
        <rFont val="Calibri"/>
        <family val="2"/>
        <scheme val="minor"/>
      </rPr>
      <t>; $10/(ha-mm) = $1/m</t>
    </r>
    <r>
      <rPr>
        <i/>
        <vertAlign val="superscript"/>
        <sz val="11"/>
        <color theme="1"/>
        <rFont val="Calibri"/>
        <family val="2"/>
        <scheme val="minor"/>
      </rPr>
      <t>3</t>
    </r>
    <r>
      <rPr>
        <i/>
        <sz val="11"/>
        <color theme="1"/>
        <rFont val="Calibri"/>
        <family val="2"/>
        <scheme val="minor"/>
      </rPr>
      <t>)</t>
    </r>
  </si>
  <si>
    <t>Ei = 1 for x = xi</t>
  </si>
  <si>
    <t>xi=</t>
  </si>
  <si>
    <r>
      <t>Re = (D + Fx + Gx</t>
    </r>
    <r>
      <rPr>
        <vertAlign val="superscript"/>
        <sz val="11"/>
        <color theme="1"/>
        <rFont val="Calibri"/>
        <family val="2"/>
        <scheme val="minor"/>
      </rPr>
      <t>2</t>
    </r>
    <r>
      <rPr>
        <sz val="11"/>
        <color theme="1"/>
        <rFont val="Calibri"/>
        <family val="2"/>
        <scheme val="minor"/>
      </rPr>
      <t>)*R</t>
    </r>
  </si>
  <si>
    <t>C = 0</t>
  </si>
  <si>
    <t>C = -1</t>
  </si>
  <si>
    <t>C = -2</t>
  </si>
  <si>
    <t>Er</t>
  </si>
  <si>
    <t>Description of the Deficit Irrigation Economics Model</t>
  </si>
  <si>
    <t>Tom Trout, USDA-ARS-WMSRU   3/22/2019</t>
  </si>
  <si>
    <t>General Instructions</t>
  </si>
  <si>
    <r>
      <t>WPF Model - Water Production Function and Water Productivity</t>
    </r>
    <r>
      <rPr>
        <sz val="11"/>
        <color theme="1"/>
        <rFont val="Calibri"/>
        <family val="2"/>
        <scheme val="minor"/>
      </rPr>
      <t xml:space="preserve"> (3 input parameters)</t>
    </r>
  </si>
  <si>
    <r>
      <t>Y</t>
    </r>
    <r>
      <rPr>
        <vertAlign val="subscript"/>
        <sz val="11"/>
        <color theme="1"/>
        <rFont val="Calibri"/>
        <family val="2"/>
        <scheme val="minor"/>
      </rPr>
      <t>R</t>
    </r>
    <r>
      <rPr>
        <sz val="11"/>
        <color theme="1"/>
        <rFont val="Calibri"/>
        <family val="2"/>
        <scheme val="minor"/>
      </rPr>
      <t xml:space="preserve"> = A + Bx + Cx</t>
    </r>
    <r>
      <rPr>
        <vertAlign val="superscript"/>
        <sz val="11"/>
        <color theme="1"/>
        <rFont val="Calibri"/>
        <family val="2"/>
        <scheme val="minor"/>
      </rPr>
      <t>2</t>
    </r>
  </si>
  <si>
    <r>
      <t>Y</t>
    </r>
    <r>
      <rPr>
        <vertAlign val="subscript"/>
        <sz val="11"/>
        <color theme="1"/>
        <rFont val="Calibri"/>
        <family val="2"/>
        <scheme val="minor"/>
      </rPr>
      <t>R</t>
    </r>
    <r>
      <rPr>
        <sz val="11"/>
        <color theme="1"/>
        <rFont val="Calibri"/>
        <family val="2"/>
        <scheme val="minor"/>
      </rPr>
      <t xml:space="preserve"> = 1 for x = 1</t>
    </r>
  </si>
  <si>
    <r>
      <t>B=(Y</t>
    </r>
    <r>
      <rPr>
        <vertAlign val="subscript"/>
        <sz val="11"/>
        <color theme="1"/>
        <rFont val="Calibri"/>
        <family val="2"/>
        <scheme val="minor"/>
      </rPr>
      <t>R2</t>
    </r>
    <r>
      <rPr>
        <sz val="11"/>
        <color theme="1"/>
        <rFont val="Calibri"/>
        <family val="2"/>
        <scheme val="minor"/>
      </rPr>
      <t xml:space="preserve"> - 1 + C- Cx</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))/(x</t>
    </r>
    <r>
      <rPr>
        <vertAlign val="subscript"/>
        <sz val="11"/>
        <color theme="1"/>
        <rFont val="Calibri"/>
        <family val="2"/>
        <scheme val="minor"/>
      </rPr>
      <t>2</t>
    </r>
    <r>
      <rPr>
        <sz val="11"/>
        <color theme="1"/>
        <rFont val="Calibri"/>
        <family val="2"/>
        <scheme val="minor"/>
      </rPr>
      <t xml:space="preserve"> - 1)</t>
    </r>
  </si>
  <si>
    <r>
      <t>A = (Y</t>
    </r>
    <r>
      <rPr>
        <vertAlign val="subscript"/>
        <sz val="11"/>
        <color theme="1"/>
        <rFont val="Calibri"/>
        <family val="2"/>
        <scheme val="minor"/>
      </rPr>
      <t>R2</t>
    </r>
    <r>
      <rPr>
        <sz val="11"/>
        <color theme="1"/>
        <rFont val="Calibri"/>
        <family val="2"/>
        <scheme val="minor"/>
      </rPr>
      <t xml:space="preserve"> - x</t>
    </r>
    <r>
      <rPr>
        <vertAlign val="subscript"/>
        <sz val="11"/>
        <color theme="1"/>
        <rFont val="Calibri"/>
        <family val="2"/>
        <scheme val="minor"/>
      </rPr>
      <t>2</t>
    </r>
    <r>
      <rPr>
        <sz val="11"/>
        <color theme="1"/>
        <rFont val="Calibri"/>
        <family val="2"/>
        <scheme val="minor"/>
      </rPr>
      <t xml:space="preserve"> + Cx</t>
    </r>
    <r>
      <rPr>
        <vertAlign val="subscript"/>
        <sz val="11"/>
        <color theme="1"/>
        <rFont val="Calibri"/>
        <family val="2"/>
        <scheme val="minor"/>
      </rPr>
      <t>2</t>
    </r>
    <r>
      <rPr>
        <sz val="11"/>
        <color theme="1"/>
        <rFont val="Calibri"/>
        <family val="2"/>
        <scheme val="minor"/>
      </rPr>
      <t xml:space="preserve"> - Cx</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2</t>
    </r>
    <r>
      <rPr>
        <sz val="11"/>
        <color theme="1"/>
        <rFont val="Calibri"/>
        <family val="2"/>
        <scheme val="minor"/>
      </rPr>
      <t>)</t>
    </r>
  </si>
  <si>
    <t>WPF as 2nd degree polynomial</t>
  </si>
  <si>
    <r>
      <t>Input Y</t>
    </r>
    <r>
      <rPr>
        <vertAlign val="subscript"/>
        <sz val="11"/>
        <color theme="1"/>
        <rFont val="Calibri"/>
        <family val="2"/>
        <scheme val="minor"/>
      </rPr>
      <t>R2</t>
    </r>
    <r>
      <rPr>
        <sz val="11"/>
        <color theme="1"/>
        <rFont val="Calibri"/>
        <family val="2"/>
        <scheme val="minor"/>
      </rPr>
      <t xml:space="preserve"> and x</t>
    </r>
    <r>
      <rPr>
        <vertAlign val="subscript"/>
        <sz val="11"/>
        <color theme="1"/>
        <rFont val="Calibri"/>
        <family val="2"/>
        <scheme val="minor"/>
      </rPr>
      <t>2</t>
    </r>
  </si>
  <si>
    <r>
      <t>Y</t>
    </r>
    <r>
      <rPr>
        <vertAlign val="subscript"/>
        <sz val="11"/>
        <color theme="1"/>
        <rFont val="Calibri"/>
        <family val="2"/>
        <scheme val="minor"/>
      </rPr>
      <t>R</t>
    </r>
  </si>
  <si>
    <r>
      <t>dY</t>
    </r>
    <r>
      <rPr>
        <vertAlign val="subscript"/>
        <sz val="11"/>
        <color theme="1"/>
        <rFont val="Calibri"/>
        <family val="2"/>
        <scheme val="minor"/>
      </rPr>
      <t>R</t>
    </r>
    <r>
      <rPr>
        <sz val="11"/>
        <color theme="1"/>
        <rFont val="Calibri"/>
        <family val="2"/>
        <scheme val="minor"/>
      </rPr>
      <t>/dx</t>
    </r>
  </si>
  <si>
    <r>
      <t>WP = Y</t>
    </r>
    <r>
      <rPr>
        <vertAlign val="subscript"/>
        <sz val="11"/>
        <color theme="1"/>
        <rFont val="Calibri"/>
        <family val="2"/>
        <scheme val="minor"/>
      </rPr>
      <t>R</t>
    </r>
    <r>
      <rPr>
        <sz val="11"/>
        <color theme="1"/>
        <rFont val="Calibri"/>
        <family val="2"/>
        <scheme val="minor"/>
      </rPr>
      <t>/x</t>
    </r>
  </si>
  <si>
    <r>
      <t>x = relative ET, Y</t>
    </r>
    <r>
      <rPr>
        <vertAlign val="subscript"/>
        <sz val="11"/>
        <color theme="1"/>
        <rFont val="Calibri"/>
        <family val="2"/>
        <scheme val="minor"/>
      </rPr>
      <t>R</t>
    </r>
    <r>
      <rPr>
        <sz val="11"/>
        <color theme="1"/>
        <rFont val="Calibri"/>
        <family val="2"/>
        <scheme val="minor"/>
      </rPr>
      <t xml:space="preserve"> = relative yield</t>
    </r>
  </si>
  <si>
    <r>
      <t>WP = Y</t>
    </r>
    <r>
      <rPr>
        <vertAlign val="subscript"/>
        <sz val="11"/>
        <color theme="1"/>
        <rFont val="Calibri"/>
        <family val="2"/>
        <scheme val="minor"/>
      </rPr>
      <t>R</t>
    </r>
    <r>
      <rPr>
        <sz val="11"/>
        <color theme="1"/>
        <rFont val="Calibri"/>
        <family val="2"/>
        <scheme val="minor"/>
      </rPr>
      <t>/x = A/x + B + Cx</t>
    </r>
  </si>
  <si>
    <r>
      <t>Water Productivity (WP) and Marginal Yield (MY</t>
    </r>
    <r>
      <rPr>
        <vertAlign val="subscript"/>
        <sz val="11"/>
        <color theme="1"/>
        <rFont val="Calibri"/>
        <family val="2"/>
        <scheme val="minor"/>
      </rPr>
      <t>R</t>
    </r>
    <r>
      <rPr>
        <sz val="11"/>
        <color theme="1"/>
        <rFont val="Calibri"/>
        <family val="2"/>
        <scheme val="minor"/>
      </rPr>
      <t>)</t>
    </r>
  </si>
  <si>
    <r>
      <t>MY</t>
    </r>
    <r>
      <rPr>
        <vertAlign val="subscript"/>
        <sz val="11"/>
        <color theme="1"/>
        <rFont val="Calibri"/>
        <family val="2"/>
        <scheme val="minor"/>
      </rPr>
      <t>R</t>
    </r>
    <r>
      <rPr>
        <sz val="11"/>
        <color theme="1"/>
        <rFont val="Calibri"/>
        <family val="2"/>
        <scheme val="minor"/>
      </rPr>
      <t xml:space="preserve"> = dY</t>
    </r>
    <r>
      <rPr>
        <vertAlign val="subscript"/>
        <sz val="11"/>
        <color theme="1"/>
        <rFont val="Calibri"/>
        <family val="2"/>
        <scheme val="minor"/>
      </rPr>
      <t>R</t>
    </r>
    <r>
      <rPr>
        <sz val="11"/>
        <color theme="1"/>
        <rFont val="Calibri"/>
        <family val="2"/>
        <scheme val="minor"/>
      </rPr>
      <t>/dx = B + 2Cx</t>
    </r>
  </si>
  <si>
    <r>
      <t>Y</t>
    </r>
    <r>
      <rPr>
        <vertAlign val="subscript"/>
        <sz val="11"/>
        <color theme="1"/>
        <rFont val="Calibri"/>
        <family val="2"/>
        <scheme val="minor"/>
      </rPr>
      <t>R</t>
    </r>
    <r>
      <rPr>
        <sz val="11"/>
        <color theme="1"/>
        <rFont val="Calibri"/>
        <family val="2"/>
        <scheme val="minor"/>
      </rPr>
      <t>= x</t>
    </r>
    <r>
      <rPr>
        <vertAlign val="subscript"/>
        <sz val="11"/>
        <color theme="1"/>
        <rFont val="Calibri"/>
        <family val="2"/>
        <scheme val="minor"/>
      </rPr>
      <t>0</t>
    </r>
    <r>
      <rPr>
        <sz val="11"/>
        <color theme="1"/>
        <rFont val="Calibri"/>
        <family val="2"/>
        <scheme val="minor"/>
      </rPr>
      <t>(C-1-Cx</t>
    </r>
    <r>
      <rPr>
        <vertAlign val="subscript"/>
        <sz val="11"/>
        <color theme="1"/>
        <rFont val="Calibri"/>
        <family val="2"/>
        <scheme val="minor"/>
      </rPr>
      <t>0</t>
    </r>
    <r>
      <rPr>
        <sz val="11"/>
        <color theme="1"/>
        <rFont val="Calibri"/>
        <family val="2"/>
        <scheme val="minor"/>
      </rPr>
      <t>)/(1-x</t>
    </r>
    <r>
      <rPr>
        <vertAlign val="subscript"/>
        <sz val="11"/>
        <color theme="1"/>
        <rFont val="Calibri"/>
        <family val="2"/>
        <scheme val="minor"/>
      </rPr>
      <t>0</t>
    </r>
    <r>
      <rPr>
        <sz val="11"/>
        <color theme="1"/>
        <rFont val="Calibri"/>
        <family val="2"/>
        <scheme val="minor"/>
      </rPr>
      <t>) + (1-C(1-x</t>
    </r>
    <r>
      <rPr>
        <vertAlign val="subscript"/>
        <sz val="11"/>
        <color theme="1"/>
        <rFont val="Calibri"/>
        <family val="2"/>
        <scheme val="minor"/>
      </rPr>
      <t>0</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0</t>
    </r>
    <r>
      <rPr>
        <sz val="11"/>
        <color theme="1"/>
        <rFont val="Calibri"/>
        <family val="2"/>
        <scheme val="minor"/>
      </rPr>
      <t>))x + Cx</t>
    </r>
    <r>
      <rPr>
        <vertAlign val="superscript"/>
        <sz val="11"/>
        <color theme="1"/>
        <rFont val="Calibri"/>
        <family val="2"/>
        <scheme val="minor"/>
      </rPr>
      <t>2</t>
    </r>
  </si>
  <si>
    <r>
      <t>dY</t>
    </r>
    <r>
      <rPr>
        <vertAlign val="subscript"/>
        <sz val="11"/>
        <color theme="1"/>
        <rFont val="Calibri"/>
        <family val="2"/>
        <scheme val="minor"/>
      </rPr>
      <t>R</t>
    </r>
    <r>
      <rPr>
        <sz val="11"/>
        <color theme="1"/>
        <rFont val="Calibri"/>
        <family val="2"/>
        <scheme val="minor"/>
      </rPr>
      <t>/dx = (1-C(1-x</t>
    </r>
    <r>
      <rPr>
        <vertAlign val="subscript"/>
        <sz val="11"/>
        <color theme="1"/>
        <rFont val="Calibri"/>
        <family val="2"/>
        <scheme val="minor"/>
      </rPr>
      <t>0</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0</t>
    </r>
    <r>
      <rPr>
        <sz val="11"/>
        <color theme="1"/>
        <rFont val="Calibri"/>
        <family val="2"/>
        <scheme val="minor"/>
      </rPr>
      <t>) + 2Cx</t>
    </r>
  </si>
  <si>
    <r>
      <t>Y</t>
    </r>
    <r>
      <rPr>
        <vertAlign val="subscript"/>
        <sz val="11"/>
        <color theme="1"/>
        <rFont val="Calibri"/>
        <family val="2"/>
        <scheme val="minor"/>
      </rPr>
      <t>R</t>
    </r>
    <r>
      <rPr>
        <sz val="11"/>
        <color theme="1"/>
        <rFont val="Calibri"/>
        <family val="2"/>
        <scheme val="minor"/>
      </rPr>
      <t>/x= x</t>
    </r>
    <r>
      <rPr>
        <vertAlign val="subscript"/>
        <sz val="11"/>
        <color theme="1"/>
        <rFont val="Calibri"/>
        <family val="2"/>
        <scheme val="minor"/>
      </rPr>
      <t>0</t>
    </r>
    <r>
      <rPr>
        <sz val="11"/>
        <color theme="1"/>
        <rFont val="Calibri"/>
        <family val="2"/>
        <scheme val="minor"/>
      </rPr>
      <t>(C-1-Cx</t>
    </r>
    <r>
      <rPr>
        <vertAlign val="subscript"/>
        <sz val="11"/>
        <color theme="1"/>
        <rFont val="Calibri"/>
        <family val="2"/>
        <scheme val="minor"/>
      </rPr>
      <t>0</t>
    </r>
    <r>
      <rPr>
        <sz val="11"/>
        <color theme="1"/>
        <rFont val="Calibri"/>
        <family val="2"/>
        <scheme val="minor"/>
      </rPr>
      <t>)/((1-x</t>
    </r>
    <r>
      <rPr>
        <vertAlign val="subscript"/>
        <sz val="11"/>
        <color theme="1"/>
        <rFont val="Calibri"/>
        <family val="2"/>
        <scheme val="minor"/>
      </rPr>
      <t>0</t>
    </r>
    <r>
      <rPr>
        <sz val="11"/>
        <color theme="1"/>
        <rFont val="Calibri"/>
        <family val="2"/>
        <scheme val="minor"/>
      </rPr>
      <t>)x) + (1-C(1-x</t>
    </r>
    <r>
      <rPr>
        <vertAlign val="subscript"/>
        <sz val="11"/>
        <color theme="1"/>
        <rFont val="Calibri"/>
        <family val="2"/>
        <scheme val="minor"/>
      </rPr>
      <t>0</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0</t>
    </r>
    <r>
      <rPr>
        <sz val="11"/>
        <color theme="1"/>
        <rFont val="Calibri"/>
        <family val="2"/>
        <scheme val="minor"/>
      </rPr>
      <t>)) + Cx</t>
    </r>
  </si>
  <si>
    <r>
      <t>for x</t>
    </r>
    <r>
      <rPr>
        <b/>
        <vertAlign val="subscript"/>
        <sz val="11"/>
        <color theme="1"/>
        <rFont val="Calibri"/>
        <family val="2"/>
        <scheme val="minor"/>
      </rPr>
      <t>2</t>
    </r>
    <r>
      <rPr>
        <b/>
        <sz val="11"/>
        <color theme="1"/>
        <rFont val="Calibri"/>
        <family val="2"/>
        <scheme val="minor"/>
      </rPr>
      <t xml:space="preserve"> = x</t>
    </r>
    <r>
      <rPr>
        <b/>
        <vertAlign val="subscript"/>
        <sz val="11"/>
        <color theme="1"/>
        <rFont val="Calibri"/>
        <family val="2"/>
        <scheme val="minor"/>
      </rPr>
      <t>0</t>
    </r>
    <r>
      <rPr>
        <b/>
        <sz val="11"/>
        <color theme="1"/>
        <rFont val="Calibri"/>
        <family val="2"/>
        <scheme val="minor"/>
      </rPr>
      <t xml:space="preserve"> ,</t>
    </r>
    <r>
      <rPr>
        <b/>
        <i/>
        <vertAlign val="subscript"/>
        <sz val="11"/>
        <color theme="1"/>
        <rFont val="Calibri"/>
        <family val="2"/>
        <scheme val="minor"/>
      </rPr>
      <t xml:space="preserve"> </t>
    </r>
    <r>
      <rPr>
        <b/>
        <sz val="11"/>
        <color theme="1"/>
        <rFont val="Calibri"/>
        <family val="2"/>
        <scheme val="minor"/>
      </rPr>
      <t>Y</t>
    </r>
    <r>
      <rPr>
        <b/>
        <vertAlign val="subscript"/>
        <sz val="11"/>
        <color theme="1"/>
        <rFont val="Calibri"/>
        <family val="2"/>
        <scheme val="minor"/>
      </rPr>
      <t>R2</t>
    </r>
    <r>
      <rPr>
        <b/>
        <sz val="11"/>
        <color theme="1"/>
        <rFont val="Calibri"/>
        <family val="2"/>
        <scheme val="minor"/>
      </rPr>
      <t xml:space="preserve"> = 0</t>
    </r>
  </si>
  <si>
    <r>
      <t>Comparison of curvilinearity as a function of C and x</t>
    </r>
    <r>
      <rPr>
        <b/>
        <vertAlign val="subscript"/>
        <sz val="11"/>
        <color theme="1"/>
        <rFont val="Calibri"/>
        <family val="2"/>
        <scheme val="minor"/>
      </rPr>
      <t>0</t>
    </r>
  </si>
  <si>
    <r>
      <t>The normalized Water Production Function (WPF) model is based on normalizing both the yield and ETc relative to the maximum Yield (Yp) and maximum (potential) ETc (ETp).  The normalized WPF is modelled as a 2nd degree polynomial: Y</t>
    </r>
    <r>
      <rPr>
        <vertAlign val="subscript"/>
        <sz val="11"/>
        <color theme="1"/>
        <rFont val="Calibri"/>
        <family val="2"/>
        <scheme val="minor"/>
      </rPr>
      <t>R</t>
    </r>
    <r>
      <rPr>
        <sz val="11"/>
        <color theme="1"/>
        <rFont val="Calibri"/>
        <family val="2"/>
        <scheme val="minor"/>
      </rPr>
      <t xml:space="preserve"> = A + Bx + Cx</t>
    </r>
    <r>
      <rPr>
        <vertAlign val="superscript"/>
        <sz val="11"/>
        <color theme="1"/>
        <rFont val="Calibri"/>
        <family val="2"/>
        <scheme val="minor"/>
      </rPr>
      <t>2</t>
    </r>
    <r>
      <rPr>
        <sz val="11"/>
        <color theme="1"/>
        <rFont val="Calibri"/>
        <family val="2"/>
        <scheme val="minor"/>
      </rPr>
      <t xml:space="preserve"> where x = the relative ET.  The coefficients of the normalized WPF are  derived based on a relative ET value, x</t>
    </r>
    <r>
      <rPr>
        <vertAlign val="subscript"/>
        <sz val="11"/>
        <color theme="1"/>
        <rFont val="Calibri"/>
        <family val="2"/>
        <scheme val="minor"/>
      </rPr>
      <t>2</t>
    </r>
    <r>
      <rPr>
        <sz val="11"/>
        <color theme="1"/>
        <rFont val="Calibri"/>
        <family val="2"/>
        <scheme val="minor"/>
      </rPr>
      <t>,  for which the projected yield is Y</t>
    </r>
    <r>
      <rPr>
        <vertAlign val="subscript"/>
        <sz val="11"/>
        <color theme="1"/>
        <rFont val="Calibri"/>
        <family val="2"/>
        <scheme val="minor"/>
      </rPr>
      <t>R2</t>
    </r>
    <r>
      <rPr>
        <sz val="11"/>
        <color theme="1"/>
        <rFont val="Calibri"/>
        <family val="2"/>
        <scheme val="minor"/>
      </rPr>
      <t>, and the degree of curvilinearity, represented by the coefficient of the squared term (C).  A common scenario is Y</t>
    </r>
    <r>
      <rPr>
        <vertAlign val="subscript"/>
        <sz val="11"/>
        <color theme="1"/>
        <rFont val="Calibri"/>
        <family val="2"/>
        <scheme val="minor"/>
      </rPr>
      <t>R2</t>
    </r>
    <r>
      <rPr>
        <sz val="11"/>
        <color theme="1"/>
        <rFont val="Calibri"/>
        <family val="2"/>
        <scheme val="minor"/>
      </rPr>
      <t xml:space="preserve"> = 0 at x = x</t>
    </r>
    <r>
      <rPr>
        <vertAlign val="subscript"/>
        <sz val="11"/>
        <color theme="1"/>
        <rFont val="Calibri"/>
        <family val="2"/>
        <scheme val="minor"/>
      </rPr>
      <t>0</t>
    </r>
    <r>
      <rPr>
        <sz val="11"/>
        <color theme="1"/>
        <rFont val="Calibri"/>
        <family val="2"/>
        <scheme val="minor"/>
      </rPr>
      <t>.  The C coefficient can vary from 0, which produces a linear WPF, to negative values that produce concave downward WPFs.  With these assumptions, the remaining polynomial coefficients (A and B) are derived, and the WPF is plotted (Fig (a)). Three WPFs can be compared with the right side graph.</t>
    </r>
  </si>
  <si>
    <t>Through algebraic manipulation of the normalized WPF, the water productivity (WP = Y/ET) and  the marginal WPF (derivative of WPF)are derived and shown on graphs (b) and (c).  The relative ET value is determined that gives the maximum WP,  and the minimum relative ET that produces WP&gt;1 (the lower end of the range for which WP&gt;1).  These points are shown on the WPF graph.  For deficit irrigation to be potentially beneficial, the marginal WPF should be less than or equal to 1 at x = 1   (C &gt; (1-B)/2).</t>
  </si>
  <si>
    <r>
      <t>Es = min(H + Jx + Kx</t>
    </r>
    <r>
      <rPr>
        <vertAlign val="superscript"/>
        <sz val="11"/>
        <color theme="1"/>
        <rFont val="Calibri"/>
        <family val="2"/>
        <scheme val="minor"/>
      </rPr>
      <t>2</t>
    </r>
    <r>
      <rPr>
        <sz val="11"/>
        <color theme="1"/>
        <rFont val="Calibri"/>
        <family val="2"/>
        <scheme val="minor"/>
      </rPr>
      <t xml:space="preserve"> ,1)</t>
    </r>
  </si>
  <si>
    <r>
      <t>Er = min(D + Fx + Gx</t>
    </r>
    <r>
      <rPr>
        <vertAlign val="superscript"/>
        <sz val="11"/>
        <color theme="1"/>
        <rFont val="Calibri"/>
        <family val="2"/>
        <scheme val="minor"/>
      </rPr>
      <t>2</t>
    </r>
    <r>
      <rPr>
        <sz val="11"/>
        <color theme="1"/>
        <rFont val="Calibri"/>
        <family val="2"/>
        <scheme val="minor"/>
      </rPr>
      <t xml:space="preserve"> ,1)</t>
    </r>
  </si>
  <si>
    <r>
      <t>Ei = min(L + Mx + Nx</t>
    </r>
    <r>
      <rPr>
        <vertAlign val="superscript"/>
        <sz val="11"/>
        <color theme="1"/>
        <rFont val="Calibri"/>
        <family val="2"/>
        <scheme val="minor"/>
      </rPr>
      <t>2</t>
    </r>
    <r>
      <rPr>
        <sz val="11"/>
        <color theme="1"/>
        <rFont val="Calibri"/>
        <family val="2"/>
        <scheme val="minor"/>
      </rPr>
      <t xml:space="preserve"> ,1)</t>
    </r>
  </si>
  <si>
    <r>
      <t>The Irrigation Requirement is based on ET being met by the sum of three  sources of water: Irrigation Supply (I</t>
    </r>
    <r>
      <rPr>
        <vertAlign val="subscript"/>
        <sz val="11"/>
        <color theme="1"/>
        <rFont val="Calibri"/>
        <family val="2"/>
        <scheme val="minor"/>
      </rPr>
      <t>S</t>
    </r>
    <r>
      <rPr>
        <sz val="11"/>
        <color theme="1"/>
        <rFont val="Calibri"/>
        <family val="2"/>
        <scheme val="minor"/>
      </rPr>
      <t>), Seasonal Precipitation (R), and use from Soil Water Storage (S).  Each source has an associated "effectiveness" or use efficiency, or that portion of the water source that is used for ETc.  The three efficiencies, Ei, Er, and Es,  vary with the relative ET and thus can be derived as a function of x.  All three efficiencies are assumed to be 1 (100%) at low ET (large deficit), and decrease to a minimum value at full ET (x=1).  The relative decrease is assumed to be concave or linear and is modeled as a second degree polynomial.  The amount of effective rainfall and water from storage is then calculated along with the irrigation supply required to meet the target ET.</t>
    </r>
  </si>
  <si>
    <r>
      <t>Irrigation Efficiency, Ei:  User inputs an assumed irrigation efficiency at full ET, Ei</t>
    </r>
    <r>
      <rPr>
        <vertAlign val="subscript"/>
        <sz val="11"/>
        <color theme="1"/>
        <rFont val="Calibri"/>
        <family val="2"/>
        <scheme val="minor"/>
      </rPr>
      <t>1</t>
    </r>
    <r>
      <rPr>
        <sz val="11"/>
        <color theme="1"/>
        <rFont val="Calibri"/>
        <family val="2"/>
        <scheme val="minor"/>
      </rPr>
      <t>; the relative ET, x</t>
    </r>
    <r>
      <rPr>
        <vertAlign val="subscript"/>
        <sz val="11"/>
        <color theme="1"/>
        <rFont val="Calibri"/>
        <family val="2"/>
        <scheme val="minor"/>
      </rPr>
      <t>i</t>
    </r>
    <r>
      <rPr>
        <sz val="11"/>
        <color theme="1"/>
        <rFont val="Calibri"/>
        <family val="2"/>
        <scheme val="minor"/>
      </rPr>
      <t>, below which Ei = 1; and a quadratic coefficient, N, that defines the curvilinearity of the relationship.  The other two polynomial coefficients are calculated.  The quadratic coefficient, N, will be &lt;=0, with 0 providing a linear relationship.   Ei values must be limited to &lt;= 1.0.</t>
    </r>
  </si>
  <si>
    <r>
      <t>Precipitaton Efficiency, Er:  User inputs an assumed precipitation efficiency at full ET, Er</t>
    </r>
    <r>
      <rPr>
        <vertAlign val="subscript"/>
        <sz val="11"/>
        <color theme="1"/>
        <rFont val="Calibri"/>
        <family val="2"/>
        <scheme val="minor"/>
      </rPr>
      <t>1</t>
    </r>
    <r>
      <rPr>
        <sz val="11"/>
        <color theme="1"/>
        <rFont val="Calibri"/>
        <family val="2"/>
        <scheme val="minor"/>
      </rPr>
      <t>; the relative ET value, x</t>
    </r>
    <r>
      <rPr>
        <vertAlign val="subscript"/>
        <sz val="11"/>
        <color theme="1"/>
        <rFont val="Calibri"/>
        <family val="2"/>
        <scheme val="minor"/>
      </rPr>
      <t>r</t>
    </r>
    <r>
      <rPr>
        <sz val="11"/>
        <color theme="1"/>
        <rFont val="Calibri"/>
        <family val="2"/>
        <scheme val="minor"/>
      </rPr>
      <t xml:space="preserve">, below which Er = 1; </t>
    </r>
    <r>
      <rPr>
        <vertAlign val="subscript"/>
        <sz val="11"/>
        <color theme="1"/>
        <rFont val="Calibri"/>
        <family val="2"/>
        <scheme val="minor"/>
      </rPr>
      <t xml:space="preserve"> </t>
    </r>
    <r>
      <rPr>
        <sz val="11"/>
        <color theme="1"/>
        <rFont val="Calibri"/>
        <family val="2"/>
        <scheme val="minor"/>
      </rPr>
      <t>and a quadratic coefficient, G, that defines the curvilinearity of the relationship between these two points.  The other two polynomial coefficients are calculated.  The quadratic coefficient, G, will be &lt;=0, with 0 providing a linear relationship.  Er values must be limited to &lt;= 1.0.</t>
    </r>
  </si>
  <si>
    <r>
      <t>Storage Efficiency, Es:  Model assumes the storage efficiency at full ET, Es</t>
    </r>
    <r>
      <rPr>
        <vertAlign val="subscript"/>
        <sz val="11"/>
        <color theme="1"/>
        <rFont val="Calibri"/>
        <family val="2"/>
        <scheme val="minor"/>
      </rPr>
      <t>1</t>
    </r>
    <r>
      <rPr>
        <sz val="11"/>
        <color theme="1"/>
        <rFont val="Calibri"/>
        <family val="2"/>
        <scheme val="minor"/>
      </rPr>
      <t>, is 0 (no net use of soil water storage over the season; same storage at the beginning and end of the season).  User inputs the relative ET value, x</t>
    </r>
    <r>
      <rPr>
        <vertAlign val="subscript"/>
        <sz val="11"/>
        <color theme="1"/>
        <rFont val="Calibri"/>
        <family val="2"/>
        <scheme val="minor"/>
      </rPr>
      <t>s</t>
    </r>
    <r>
      <rPr>
        <sz val="11"/>
        <color theme="1"/>
        <rFont val="Calibri"/>
        <family val="2"/>
        <scheme val="minor"/>
      </rPr>
      <t>, below which all of the available soil water storage is used (Es = 1) and a quadratic coefficient, K, that defines the curvilinearity of the relationship between these two points.  The other two polynomial coefficients are calculated.  The quadratic coefficient, K, will be &lt;=0, with 0 providing a linear relationship.  Es values must be limited to &lt;= 1.0.</t>
    </r>
  </si>
  <si>
    <t>R=</t>
  </si>
  <si>
    <t>S=</t>
  </si>
  <si>
    <t>ETp=</t>
  </si>
  <si>
    <r>
      <t>I</t>
    </r>
    <r>
      <rPr>
        <b/>
        <vertAlign val="subscript"/>
        <sz val="11"/>
        <color theme="1"/>
        <rFont val="Calibri"/>
        <family val="2"/>
        <scheme val="minor"/>
      </rPr>
      <t>S</t>
    </r>
    <r>
      <rPr>
        <b/>
        <sz val="11"/>
        <color theme="1"/>
        <rFont val="Calibri"/>
        <family val="2"/>
        <scheme val="minor"/>
      </rPr>
      <t xml:space="preserve"> = I</t>
    </r>
    <r>
      <rPr>
        <b/>
        <vertAlign val="subscript"/>
        <sz val="11"/>
        <color theme="1"/>
        <rFont val="Calibri"/>
        <family val="2"/>
        <scheme val="minor"/>
      </rPr>
      <t>R</t>
    </r>
    <r>
      <rPr>
        <b/>
        <sz val="11"/>
        <color theme="1"/>
        <rFont val="Calibri"/>
        <family val="2"/>
        <scheme val="minor"/>
      </rPr>
      <t>/Ei</t>
    </r>
  </si>
  <si>
    <r>
      <t>I</t>
    </r>
    <r>
      <rPr>
        <b/>
        <vertAlign val="subscript"/>
        <sz val="11"/>
        <color theme="1"/>
        <rFont val="Calibri"/>
        <family val="2"/>
        <scheme val="minor"/>
      </rPr>
      <t>R</t>
    </r>
    <r>
      <rPr>
        <b/>
        <sz val="11"/>
        <color theme="1"/>
        <rFont val="Calibri"/>
        <family val="2"/>
        <scheme val="minor"/>
      </rPr>
      <t xml:space="preserve"> = (ETp*x - R*Er(x) - S*Es(x))</t>
    </r>
  </si>
  <si>
    <r>
      <t>I</t>
    </r>
    <r>
      <rPr>
        <b/>
        <vertAlign val="subscript"/>
        <sz val="11"/>
        <color theme="1"/>
        <rFont val="Calibri"/>
        <family val="2"/>
        <scheme val="minor"/>
      </rPr>
      <t>R</t>
    </r>
  </si>
  <si>
    <r>
      <t>I</t>
    </r>
    <r>
      <rPr>
        <b/>
        <vertAlign val="subscript"/>
        <sz val="11"/>
        <color theme="1"/>
        <rFont val="Calibri"/>
        <family val="2"/>
        <scheme val="minor"/>
      </rPr>
      <t>S</t>
    </r>
  </si>
  <si>
    <r>
      <t>Irrigation Requirement and Supply; Production Functions:  Y vs. ET, I</t>
    </r>
    <r>
      <rPr>
        <b/>
        <vertAlign val="subscript"/>
        <sz val="11"/>
        <color theme="1"/>
        <rFont val="Calibri"/>
        <family val="2"/>
        <scheme val="minor"/>
      </rPr>
      <t>R</t>
    </r>
    <r>
      <rPr>
        <b/>
        <sz val="11"/>
        <color theme="1"/>
        <rFont val="Calibri"/>
        <family val="2"/>
        <scheme val="minor"/>
      </rPr>
      <t>, and I</t>
    </r>
    <r>
      <rPr>
        <b/>
        <vertAlign val="subscript"/>
        <sz val="11"/>
        <color theme="1"/>
        <rFont val="Calibri"/>
        <family val="2"/>
        <scheme val="minor"/>
      </rPr>
      <t>S</t>
    </r>
  </si>
  <si>
    <r>
      <t xml:space="preserve">IrrReq - Irrigation Requirement and Marketable CU </t>
    </r>
    <r>
      <rPr>
        <sz val="11"/>
        <color theme="1"/>
        <rFont val="Calibri"/>
        <family val="2"/>
        <scheme val="minor"/>
      </rPr>
      <t>(11 Input Parameters)</t>
    </r>
  </si>
  <si>
    <r>
      <t>Production Function:  The relative yield, Y</t>
    </r>
    <r>
      <rPr>
        <vertAlign val="subscript"/>
        <sz val="11"/>
        <color theme="1"/>
        <rFont val="Calibri"/>
        <family val="2"/>
        <scheme val="minor"/>
      </rPr>
      <t>R</t>
    </r>
    <r>
      <rPr>
        <sz val="11"/>
        <color theme="1"/>
        <rFont val="Calibri"/>
        <family val="2"/>
        <scheme val="minor"/>
      </rPr>
      <t>, is plotted as a function of actual crop ETc, I</t>
    </r>
    <r>
      <rPr>
        <vertAlign val="subscript"/>
        <sz val="11"/>
        <color theme="1"/>
        <rFont val="Calibri"/>
        <family val="2"/>
        <scheme val="minor"/>
      </rPr>
      <t>R</t>
    </r>
    <r>
      <rPr>
        <sz val="11"/>
        <color theme="1"/>
        <rFont val="Calibri"/>
        <family val="2"/>
        <scheme val="minor"/>
      </rPr>
      <t>, and I</t>
    </r>
    <r>
      <rPr>
        <vertAlign val="subscript"/>
        <sz val="11"/>
        <color theme="1"/>
        <rFont val="Calibri"/>
        <family val="2"/>
        <scheme val="minor"/>
      </rPr>
      <t>S</t>
    </r>
    <r>
      <rPr>
        <sz val="11"/>
        <color theme="1"/>
        <rFont val="Calibri"/>
        <family val="2"/>
        <scheme val="minor"/>
      </rPr>
      <t>.  This demonstrates the effect of precipitation, soil water storage, and irrigation efficiency on the crop production function.  Note that the I</t>
    </r>
    <r>
      <rPr>
        <vertAlign val="subscript"/>
        <sz val="11"/>
        <color theme="1"/>
        <rFont val="Calibri"/>
        <family val="2"/>
        <scheme val="minor"/>
      </rPr>
      <t>R</t>
    </r>
    <r>
      <rPr>
        <sz val="11"/>
        <color theme="1"/>
        <rFont val="Calibri"/>
        <family val="2"/>
        <scheme val="minor"/>
      </rPr>
      <t xml:space="preserve"> and I</t>
    </r>
    <r>
      <rPr>
        <vertAlign val="subscript"/>
        <sz val="11"/>
        <color theme="1"/>
        <rFont val="Calibri"/>
        <family val="2"/>
        <scheme val="minor"/>
      </rPr>
      <t>S</t>
    </r>
    <r>
      <rPr>
        <sz val="11"/>
        <color theme="1"/>
        <rFont val="Calibri"/>
        <family val="2"/>
        <scheme val="minor"/>
      </rPr>
      <t xml:space="preserve"> production function intercepts are positive if R + S is larger than ETp*x</t>
    </r>
    <r>
      <rPr>
        <vertAlign val="subscript"/>
        <sz val="11"/>
        <color theme="1"/>
        <rFont val="Calibri"/>
        <family val="2"/>
        <scheme val="minor"/>
      </rPr>
      <t>0</t>
    </r>
    <r>
      <rPr>
        <sz val="11"/>
        <color theme="1"/>
        <rFont val="Calibri"/>
        <family val="2"/>
        <scheme val="minor"/>
      </rPr>
      <t>, and their slopes are less than that of the ET WPF.</t>
    </r>
  </si>
  <si>
    <r>
      <t xml:space="preserve">Wc </t>
    </r>
    <r>
      <rPr>
        <i/>
        <sz val="11"/>
        <color theme="1"/>
        <rFont val="Calibri"/>
        <family val="2"/>
        <scheme val="minor"/>
      </rPr>
      <t>(mm)</t>
    </r>
  </si>
  <si>
    <r>
      <t xml:space="preserve">R </t>
    </r>
    <r>
      <rPr>
        <i/>
        <sz val="11"/>
        <color theme="1"/>
        <rFont val="Calibri"/>
        <family val="2"/>
        <scheme val="minor"/>
      </rPr>
      <t>(mm)</t>
    </r>
  </si>
  <si>
    <r>
      <t>S</t>
    </r>
    <r>
      <rPr>
        <i/>
        <sz val="11"/>
        <color theme="1"/>
        <rFont val="Calibri"/>
        <family val="2"/>
        <scheme val="minor"/>
      </rPr>
      <t xml:space="preserve"> (mm)</t>
    </r>
  </si>
  <si>
    <t>Max NI</t>
  </si>
  <si>
    <r>
      <t>x</t>
    </r>
    <r>
      <rPr>
        <vertAlign val="subscript"/>
        <sz val="11"/>
        <color theme="1"/>
        <rFont val="Calibri"/>
        <family val="2"/>
        <scheme val="minor"/>
      </rPr>
      <t>op</t>
    </r>
    <r>
      <rPr>
        <sz val="11"/>
        <color theme="1"/>
        <rFont val="Calibri"/>
        <family val="2"/>
        <scheme val="minor"/>
      </rPr>
      <t>'</t>
    </r>
  </si>
  <si>
    <t>Max NI'</t>
  </si>
  <si>
    <t>Direct Approximate Solution</t>
  </si>
  <si>
    <t>Numeric Solution (+-0.01)</t>
  </si>
  <si>
    <t>(with leasing based on reduced consumptive use)</t>
  </si>
  <si>
    <t>Parameters from prev. worksheets</t>
  </si>
  <si>
    <t>Pps ($/ha)</t>
  </si>
  <si>
    <t>Pw ($/ac-ft)</t>
  </si>
  <si>
    <t>Pps ($/ac)</t>
  </si>
  <si>
    <t>Pi ($/ac-ft)</t>
  </si>
  <si>
    <t>Relative ET</t>
  </si>
  <si>
    <t>NI(x)</t>
  </si>
  <si>
    <t>(Net Income as a function of relative ET)</t>
  </si>
  <si>
    <t>Approximate Maximum NI(x) Solution</t>
  </si>
  <si>
    <r>
      <t xml:space="preserve">Yp </t>
    </r>
    <r>
      <rPr>
        <i/>
        <sz val="11"/>
        <color theme="1"/>
        <rFont val="Calibri"/>
        <family val="2"/>
        <scheme val="minor"/>
      </rPr>
      <t>(bu/ac)</t>
    </r>
  </si>
  <si>
    <t>Lease Income</t>
  </si>
  <si>
    <t>Coefficients</t>
  </si>
  <si>
    <t>Effective Precipitation, Re</t>
  </si>
  <si>
    <t>Effective Storage, Se</t>
  </si>
  <si>
    <t>Irrigation Efficiency, Ei</t>
  </si>
  <si>
    <r>
      <t>Irrigation Requirement, I</t>
    </r>
    <r>
      <rPr>
        <b/>
        <vertAlign val="subscript"/>
        <sz val="11"/>
        <color theme="1"/>
        <rFont val="Calibri"/>
        <family val="2"/>
        <scheme val="minor"/>
      </rPr>
      <t>R</t>
    </r>
  </si>
  <si>
    <r>
      <t>Irrigation Supply Required, I</t>
    </r>
    <r>
      <rPr>
        <b/>
        <vertAlign val="subscript"/>
        <sz val="11"/>
        <color theme="1"/>
        <rFont val="Calibri"/>
        <family val="2"/>
        <scheme val="minor"/>
      </rPr>
      <t>S</t>
    </r>
  </si>
  <si>
    <r>
      <t>NI</t>
    </r>
    <r>
      <rPr>
        <vertAlign val="subscript"/>
        <sz val="11"/>
        <color theme="1"/>
        <rFont val="Calibri"/>
        <family val="2"/>
        <scheme val="minor"/>
      </rPr>
      <t>app</t>
    </r>
  </si>
  <si>
    <t>Aproximate solution</t>
  </si>
  <si>
    <t>(with leasing based on irrigation supply)</t>
  </si>
  <si>
    <t>Net Income Economic Model II</t>
  </si>
  <si>
    <r>
      <t>Net Income = Py*</t>
    </r>
    <r>
      <rPr>
        <i/>
        <sz val="11"/>
        <color theme="1"/>
        <rFont val="Calibri"/>
        <family val="2"/>
        <scheme val="minor"/>
      </rPr>
      <t>Y</t>
    </r>
    <r>
      <rPr>
        <sz val="11"/>
        <color theme="1"/>
        <rFont val="Calibri"/>
        <family val="2"/>
        <scheme val="minor"/>
      </rPr>
      <t xml:space="preserve"> + Pw(Ws - I</t>
    </r>
    <r>
      <rPr>
        <vertAlign val="subscript"/>
        <sz val="11"/>
        <color theme="1"/>
        <rFont val="Calibri"/>
        <family val="2"/>
        <scheme val="minor"/>
      </rPr>
      <t>S</t>
    </r>
    <r>
      <rPr>
        <sz val="11"/>
        <color theme="1"/>
        <rFont val="Calibri"/>
        <family val="2"/>
        <scheme val="minor"/>
      </rPr>
      <t>) - Pps - Pp*Y - Pi*I</t>
    </r>
    <r>
      <rPr>
        <vertAlign val="subscript"/>
        <sz val="11"/>
        <color theme="1"/>
        <rFont val="Calibri"/>
        <family val="2"/>
        <scheme val="minor"/>
      </rPr>
      <t>S</t>
    </r>
  </si>
  <si>
    <r>
      <t xml:space="preserve">Ws </t>
    </r>
    <r>
      <rPr>
        <i/>
        <sz val="11"/>
        <color theme="1"/>
        <rFont val="Calibri"/>
        <family val="2"/>
        <scheme val="minor"/>
      </rPr>
      <t>(mm)</t>
    </r>
  </si>
  <si>
    <r>
      <t>Pw*(Ws-I</t>
    </r>
    <r>
      <rPr>
        <vertAlign val="subscript"/>
        <sz val="11"/>
        <color theme="1"/>
        <rFont val="Calibri"/>
        <family val="2"/>
        <scheme val="minor"/>
      </rPr>
      <t>S</t>
    </r>
    <r>
      <rPr>
        <sz val="11"/>
        <color theme="1"/>
        <rFont val="Calibri"/>
        <family val="2"/>
        <scheme val="minor"/>
      </rPr>
      <t>)</t>
    </r>
  </si>
  <si>
    <r>
      <t>EconModel: Net Income Economic Model based on leasing of saved ET</t>
    </r>
    <r>
      <rPr>
        <sz val="11"/>
        <color theme="1"/>
        <rFont val="Calibri"/>
        <family val="2"/>
        <scheme val="minor"/>
      </rPr>
      <t xml:space="preserve"> (7 input parameters)</t>
    </r>
  </si>
  <si>
    <r>
      <t>EconModel II: Net Income Economic Model based on leasing of Irrigation Supply</t>
    </r>
    <r>
      <rPr>
        <sz val="11"/>
        <color theme="1"/>
        <rFont val="Calibri"/>
        <family val="2"/>
        <scheme val="minor"/>
      </rPr>
      <t xml:space="preserve"> (7 input parameters)</t>
    </r>
  </si>
  <si>
    <r>
      <t>The middle portion of the worksheet calculates the net income for a range of relative ET values and the parameters input above and plots the results.  The maximum net income and x</t>
    </r>
    <r>
      <rPr>
        <vertAlign val="subscript"/>
        <sz val="11"/>
        <color theme="1"/>
        <rFont val="Calibri"/>
        <family val="2"/>
        <scheme val="minor"/>
      </rPr>
      <t>op</t>
    </r>
    <r>
      <rPr>
        <sz val="11"/>
        <color theme="1"/>
        <rFont val="Calibri"/>
        <family val="2"/>
        <scheme val="minor"/>
      </rPr>
      <t xml:space="preserve"> (determined numerically to +-0.01) is also plotted.</t>
    </r>
  </si>
  <si>
    <r>
      <t>The economic model applies yield income, water lease income, costs of production, and water costs to the WPF and irrigation requirement models to calculate the net income with leasing based on reduction in consumptive use (Eq. 15).  Potential yield, the historic consumptive use, and costs and prices are input into row 6.  The upper portion of the worksheet calculates the various physical parameters for a given relative ET (input into cell C9)  based on biophysical coefficients from column L and these cost/prices.  Er, Es, and Ei are limited to &lt;= 1.0, and Y and I</t>
    </r>
    <r>
      <rPr>
        <vertAlign val="subscript"/>
        <sz val="11"/>
        <color theme="1"/>
        <rFont val="Calibri"/>
        <family val="2"/>
        <scheme val="minor"/>
      </rPr>
      <t>R</t>
    </r>
    <r>
      <rPr>
        <sz val="11"/>
        <color theme="1"/>
        <rFont val="Calibri"/>
        <family val="2"/>
        <scheme val="minor"/>
      </rPr>
      <t xml:space="preserve"> are limited to &gt;= 0.  Cell D6 calculates a Wc value based on historic full irrigation and the parameters.  Note that default biophysical parameters are copied from the previous spreadsheets, but can also be input into column L.</t>
    </r>
  </si>
  <si>
    <r>
      <t>This model is the same as the above model except leasing is based on saved irrigation water supply, I</t>
    </r>
    <r>
      <rPr>
        <vertAlign val="subscript"/>
        <sz val="11"/>
        <color theme="1"/>
        <rFont val="Calibri"/>
        <family val="2"/>
        <scheme val="minor"/>
      </rPr>
      <t xml:space="preserve">S </t>
    </r>
    <r>
      <rPr>
        <sz val="11"/>
        <color theme="1"/>
        <rFont val="Calibri"/>
        <family val="2"/>
        <scheme val="minor"/>
      </rPr>
      <t>(Eq. 16).  Potential yield, the historic irrigation water use, and costs and prices are input into row 6.  The upper portion of the worksheet calculates the various physical parameters for a given relative ET (input into cell C9)  based on biophysical coefficients from column L and these cost/prices.  Er, Es, and Ei are limited to &lt;= 1.0, and Y and I</t>
    </r>
    <r>
      <rPr>
        <vertAlign val="subscript"/>
        <sz val="11"/>
        <color theme="1"/>
        <rFont val="Calibri"/>
        <family val="2"/>
        <scheme val="minor"/>
      </rPr>
      <t>R</t>
    </r>
    <r>
      <rPr>
        <sz val="11"/>
        <color theme="1"/>
        <rFont val="Calibri"/>
        <family val="2"/>
        <scheme val="minor"/>
      </rPr>
      <t xml:space="preserve"> are limited to &gt;= 0.  Cell D6 calculates a Ws value based on historic full irrigation and the parameters.  Note that default biophysical parameters are copied from the previous spreadsheets, but can also be input into column L.</t>
    </r>
  </si>
  <si>
    <r>
      <t>The middle portion of the worksheet calculates the net income for a range of relative ET values and the parameters input above and plots the results.  The maximum net income and x</t>
    </r>
    <r>
      <rPr>
        <vertAlign val="subscript"/>
        <sz val="11"/>
        <color theme="1"/>
        <rFont val="Calibri"/>
        <family val="2"/>
        <scheme val="minor"/>
      </rPr>
      <t>op</t>
    </r>
    <r>
      <rPr>
        <sz val="11"/>
        <color theme="1"/>
        <rFont val="Calibri"/>
        <family val="2"/>
        <scheme val="minor"/>
      </rPr>
      <t xml:space="preserve"> (determined numerically to +-0.01) is also plotted.  Note that, for the same parameters, NI for model II will be higher than for the model based on I</t>
    </r>
    <r>
      <rPr>
        <vertAlign val="subscript"/>
        <sz val="11"/>
        <color theme="1"/>
        <rFont val="Calibri"/>
        <family val="2"/>
        <scheme val="minor"/>
      </rPr>
      <t>R</t>
    </r>
    <r>
      <rPr>
        <sz val="11"/>
        <color theme="1"/>
        <rFont val="Calibri"/>
        <family val="2"/>
        <scheme val="minor"/>
      </rPr>
      <t xml:space="preserve"> because the amount of leasable water is increased.  In areas where leasing of water supply is allowed, the lease price, Pw, will generally be lower than where only the CU portion of the water supply can be leased.  There is no approximate optimum relative ET for this condition.</t>
    </r>
  </si>
  <si>
    <r>
      <t>The lower section is an example of graphing x</t>
    </r>
    <r>
      <rPr>
        <vertAlign val="subscript"/>
        <sz val="11"/>
        <color theme="1"/>
        <rFont val="Calibri"/>
        <family val="2"/>
        <scheme val="minor"/>
      </rPr>
      <t>op</t>
    </r>
    <r>
      <rPr>
        <sz val="11"/>
        <color theme="1"/>
        <rFont val="Calibri"/>
        <family val="2"/>
        <scheme val="minor"/>
      </rPr>
      <t>' and NI</t>
    </r>
    <r>
      <rPr>
        <vertAlign val="subscript"/>
        <sz val="11"/>
        <color theme="1"/>
        <rFont val="Calibri"/>
        <family val="2"/>
        <scheme val="minor"/>
      </rPr>
      <t>M</t>
    </r>
    <r>
      <rPr>
        <sz val="11"/>
        <color theme="1"/>
        <rFont val="Calibri"/>
        <family val="2"/>
        <scheme val="minor"/>
      </rPr>
      <t xml:space="preserve"> for 3 crop prices.  Values are calculated in the upper section and values copied to this section for plotting.</t>
    </r>
  </si>
  <si>
    <r>
      <t>Y</t>
    </r>
    <r>
      <rPr>
        <b/>
        <vertAlign val="subscript"/>
        <sz val="11"/>
        <color theme="1"/>
        <rFont val="Calibri"/>
        <family val="2"/>
        <scheme val="minor"/>
      </rPr>
      <t>R</t>
    </r>
  </si>
  <si>
    <t>Price Sensitivity Analysis based on leasing of CU</t>
  </si>
  <si>
    <r>
      <t xml:space="preserve">PriceSens: Analysis of price effect on optimum relative ET and maximum net income </t>
    </r>
    <r>
      <rPr>
        <sz val="11"/>
        <color theme="1"/>
        <rFont val="Calibri"/>
        <family val="2"/>
        <scheme val="minor"/>
      </rPr>
      <t>(1 input parameter)</t>
    </r>
  </si>
  <si>
    <t>General Comment</t>
  </si>
  <si>
    <t xml:space="preserve">This spreadsheet is a model that is described in detail in:  Trout, T.J. and D.T. Manning.  2019.  An economic and biophysical model of deficit irrigation.  Agron. J. 111:1–12.  doi:10.2134/agronj2019.03.0209 </t>
  </si>
  <si>
    <t>This spreadsheet progressively presents a biophysical and economic model of deficit irrigation with water leasing.  Parameters are input into the yellow highlighted cells of each worksheet.  Parameters from previous worksheets are copied to following worksheets.  Relationships are graphed.  Final output is the net income (NI) for a given set of biophysical and economic parameters.</t>
  </si>
  <si>
    <r>
      <t>Irrigation Requirement, I</t>
    </r>
    <r>
      <rPr>
        <vertAlign val="subscript"/>
        <sz val="11"/>
        <color theme="1"/>
        <rFont val="Calibri"/>
        <family val="2"/>
        <scheme val="minor"/>
      </rPr>
      <t>R</t>
    </r>
    <r>
      <rPr>
        <sz val="11"/>
        <color theme="1"/>
        <rFont val="Calibri"/>
        <family val="2"/>
        <scheme val="minor"/>
      </rPr>
      <t>, and Supply, I</t>
    </r>
    <r>
      <rPr>
        <vertAlign val="subscript"/>
        <sz val="11"/>
        <color theme="1"/>
        <rFont val="Calibri"/>
        <family val="2"/>
        <scheme val="minor"/>
      </rPr>
      <t>S</t>
    </r>
    <r>
      <rPr>
        <sz val="11"/>
        <color theme="1"/>
        <rFont val="Calibri"/>
        <family val="2"/>
        <scheme val="minor"/>
      </rPr>
      <t>:  User inputs a seasonal precipitation amount, R; a total soil water storage at the beginning of the season, S; and a seasonal potential ET, ETp.  The irrigation requirement is calculated as the ET (ETp*x) minus the effective seasonal precipitation, Re (R*Er(x)) and minus the effective storage, Se (S*Es(x)), all of which are functions of the relative ET.  The required irrigation supply is then I</t>
    </r>
    <r>
      <rPr>
        <vertAlign val="subscript"/>
        <sz val="11"/>
        <color theme="1"/>
        <rFont val="Calibri"/>
        <family val="2"/>
        <scheme val="minor"/>
      </rPr>
      <t>R</t>
    </r>
    <r>
      <rPr>
        <sz val="11"/>
        <color theme="1"/>
        <rFont val="Calibri"/>
        <family val="2"/>
        <scheme val="minor"/>
      </rPr>
      <t>/Ei.  These are plotted vs. x.</t>
    </r>
  </si>
  <si>
    <r>
      <t>The lower table calculates NI for a range of relative ET values based on the approximate model (Eq. 15b) and calculates x</t>
    </r>
    <r>
      <rPr>
        <vertAlign val="subscript"/>
        <sz val="11"/>
        <color theme="1"/>
        <rFont val="Calibri"/>
        <family val="2"/>
        <scheme val="minor"/>
      </rPr>
      <t>op</t>
    </r>
    <r>
      <rPr>
        <sz val="11"/>
        <color theme="1"/>
        <rFont val="Calibri"/>
        <family val="2"/>
        <scheme val="minor"/>
      </rPr>
      <t>' and maximum NI based on the approximate solution (App 2 in the Agron J paper).  An initial Ei is input into cell A73 (default value 0.75).  Ei  is then adjusted to the actual Ei at x</t>
    </r>
    <r>
      <rPr>
        <vertAlign val="subscript"/>
        <sz val="11"/>
        <color theme="1"/>
        <rFont val="Calibri"/>
        <family val="2"/>
        <scheme val="minor"/>
      </rPr>
      <t>op</t>
    </r>
    <r>
      <rPr>
        <sz val="11"/>
        <color theme="1"/>
        <rFont val="Calibri"/>
        <family val="2"/>
        <scheme val="minor"/>
      </rPr>
      <t>', and x</t>
    </r>
    <r>
      <rPr>
        <vertAlign val="subscript"/>
        <sz val="11"/>
        <color theme="1"/>
        <rFont val="Calibri"/>
        <family val="2"/>
        <scheme val="minor"/>
      </rPr>
      <t>op</t>
    </r>
    <r>
      <rPr>
        <sz val="11"/>
        <color theme="1"/>
        <rFont val="Calibri"/>
        <family val="2"/>
        <scheme val="minor"/>
      </rPr>
      <t>' is recalculated for two iterations.  The approximate solution is shown on the graph above.   The approximate NI model with Ei at x</t>
    </r>
    <r>
      <rPr>
        <vertAlign val="subscript"/>
        <sz val="11"/>
        <color theme="1"/>
        <rFont val="Calibri"/>
        <family val="2"/>
        <scheme val="minor"/>
      </rPr>
      <t>op</t>
    </r>
    <r>
      <rPr>
        <sz val="11"/>
        <color theme="1"/>
        <rFont val="Calibri"/>
        <family val="2"/>
        <scheme val="minor"/>
      </rPr>
      <t>' is graphed along with the exact model to show the bias in the approximate model.  The graph shows that the approximate solution over-estimates x</t>
    </r>
    <r>
      <rPr>
        <vertAlign val="subscript"/>
        <sz val="11"/>
        <color theme="1"/>
        <rFont val="Calibri"/>
        <family val="2"/>
        <scheme val="minor"/>
      </rPr>
      <t>op</t>
    </r>
    <r>
      <rPr>
        <sz val="11"/>
        <color theme="1"/>
        <rFont val="Calibri"/>
        <family val="2"/>
        <scheme val="minor"/>
      </rPr>
      <t xml:space="preserve"> due to the bias in the approximate model.</t>
    </r>
  </si>
  <si>
    <r>
      <t>The EconAnal worksheet compares the optimum relative ET and maximum NI for a range of crop and lease prices based on the approximate solution. Crop price (Py) is input into cell G7.  All other parameters and coefficients are copied from the EconModel worksheet.  x</t>
    </r>
    <r>
      <rPr>
        <vertAlign val="subscript"/>
        <sz val="11"/>
        <color theme="1"/>
        <rFont val="Calibri"/>
        <family val="2"/>
        <scheme val="minor"/>
      </rPr>
      <t>op</t>
    </r>
    <r>
      <rPr>
        <sz val="11"/>
        <color theme="1"/>
        <rFont val="Calibri"/>
        <family val="2"/>
        <scheme val="minor"/>
      </rPr>
      <t>' and NI</t>
    </r>
    <r>
      <rPr>
        <vertAlign val="subscript"/>
        <sz val="11"/>
        <color theme="1"/>
        <rFont val="Calibri"/>
        <family val="2"/>
        <scheme val="minor"/>
      </rPr>
      <t>M</t>
    </r>
    <r>
      <rPr>
        <sz val="11"/>
        <color theme="1"/>
        <rFont val="Calibri"/>
        <family val="2"/>
        <scheme val="minor"/>
      </rPr>
      <t xml:space="preserve"> are calculated and graphed for a range of lease prices (Pw).  Irrigation efficiency, Ei, is iterated once.   Effects of crop and lease prices can be compared.  Because these results are based on the approximate solution, they will slightly overestimate x</t>
    </r>
    <r>
      <rPr>
        <vertAlign val="subscript"/>
        <sz val="11"/>
        <color theme="1"/>
        <rFont val="Calibri"/>
        <family val="2"/>
        <scheme val="minor"/>
      </rPr>
      <t>op</t>
    </r>
    <r>
      <rPr>
        <sz val="11"/>
        <color theme="1"/>
        <rFont val="Calibri"/>
        <family val="2"/>
        <scheme val="minor"/>
      </rPr>
      <t xml:space="preserve"> and underestimate NI</t>
    </r>
    <r>
      <rPr>
        <vertAlign val="subscript"/>
        <sz val="11"/>
        <color theme="1"/>
        <rFont val="Calibri"/>
        <family val="2"/>
        <scheme val="minor"/>
      </rPr>
      <t>M</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</si>
</sst>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quot;$&quot;#,##0"/>
    <numFmt numFmtId="166" formatCode="&quot;$&quot;#,##0.00"/>
  </numFmts>
  <fonts count="1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1"/>
      <name val="Calibri"/>
      <family val="2"/>
      <scheme val="minor"/>
    </font>
    <font>
      <vertAlign val="subscript"/>
      <sz val="11"/>
      <color theme="1"/>
      <name val="Calibri"/>
      <family val="2"/>
      <scheme val="minor"/>
    </font>
    <font>
      <vertAlign val="superscript"/>
      <sz val="11"/>
      <color theme="1"/>
      <name val="Calibri"/>
      <family val="2"/>
      <scheme val="minor"/>
    </font>
    <font>
      <b/>
      <vertAlign val="subscript"/>
      <sz val="11"/>
      <color theme="1"/>
      <name val="Calibri"/>
      <family val="2"/>
      <scheme val="minor"/>
    </font>
    <font>
      <i/>
      <vertAlign val="superscript"/>
      <sz val="11"/>
      <color theme="1"/>
      <name val="Calibri"/>
      <family val="2"/>
      <scheme val="minor"/>
    </font>
    <font>
      <b/>
      <sz val="12"/>
      <color theme="1"/>
      <name val="Calibri"/>
      <family val="2"/>
      <scheme val="minor"/>
    </font>
    <font>
      <b/>
      <i/>
      <vertAlign val="subscrip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5" fillId="0" borderId="0" applyFont="0" applyFill="0" applyBorder="0" applyAlignment="0" applyProtection="0"/>
  </cellStyleXfs>
  <cellXfs count="129">
    <xf numFmtId="0" fontId="0" fillId="0" borderId="0" xfId="0"/>
    <xf numFmtId="0" fontId="0" fillId="0" borderId="0" xfId="0" applyAlignment="1">
      <alignment horizontal="right"/>
    </xf>
    <xf numFmtId="0" fontId="1" fillId="0" borderId="0" xfId="0" applyFont="1"/>
    <xf numFmtId="0" fontId="0" fillId="0" borderId="1" xfId="0" applyBorder="1" applyAlignment="1">
      <alignment horizontal="right"/>
    </xf>
    <xf numFmtId="0" fontId="0" fillId="0" borderId="3" xfId="0" applyBorder="1"/>
    <xf numFmtId="0" fontId="0" fillId="0" borderId="5" xfId="0" applyBorder="1"/>
    <xf numFmtId="0" fontId="0" fillId="0" borderId="2" xfId="0" applyBorder="1" applyAlignment="1">
      <alignment horizontal="right"/>
    </xf>
    <xf numFmtId="2" fontId="0" fillId="0" borderId="0" xfId="0" applyNumberFormat="1"/>
    <xf numFmtId="2" fontId="0" fillId="0" borderId="4" xfId="0" applyNumberFormat="1" applyBorder="1"/>
    <xf numFmtId="2" fontId="0" fillId="0" borderId="6" xfId="0" applyNumberFormat="1" applyBorder="1"/>
    <xf numFmtId="164" fontId="0" fillId="0" borderId="0" xfId="0" applyNumberFormat="1"/>
    <xf numFmtId="0" fontId="0" fillId="0" borderId="7" xfId="0" applyBorder="1" applyAlignment="1">
      <alignment horizontal="right"/>
    </xf>
    <xf numFmtId="2" fontId="0" fillId="0" borderId="0" xfId="0" applyNumberFormat="1" applyBorder="1"/>
    <xf numFmtId="2" fontId="0" fillId="0" borderId="8" xfId="0" applyNumberFormat="1" applyBorder="1"/>
    <xf numFmtId="0" fontId="0" fillId="0" borderId="0" xfId="0" applyBorder="1"/>
    <xf numFmtId="0" fontId="0" fillId="0" borderId="0" xfId="0" applyBorder="1" applyAlignment="1">
      <alignment horizontal="right"/>
    </xf>
    <xf numFmtId="0" fontId="0" fillId="0" borderId="0" xfId="0" applyFill="1"/>
    <xf numFmtId="0" fontId="0" fillId="0" borderId="1" xfId="0" applyBorder="1"/>
    <xf numFmtId="0" fontId="0" fillId="0" borderId="7" xfId="0" applyBorder="1"/>
    <xf numFmtId="0" fontId="0" fillId="0" borderId="2" xfId="0" applyBorder="1"/>
    <xf numFmtId="0" fontId="0" fillId="0" borderId="8" xfId="0" applyBorder="1"/>
    <xf numFmtId="0" fontId="0" fillId="0" borderId="6" xfId="0" applyBorder="1"/>
    <xf numFmtId="0" fontId="0" fillId="0" borderId="0" xfId="0" applyAlignment="1">
      <alignment wrapText="1"/>
    </xf>
    <xf numFmtId="0" fontId="0" fillId="0" borderId="3" xfId="0" applyBorder="1" applyAlignment="1">
      <alignment horizontal="right"/>
    </xf>
    <xf numFmtId="0" fontId="0" fillId="0" borderId="0" xfId="0" applyFont="1" applyAlignment="1">
      <alignment horizontal="right"/>
    </xf>
    <xf numFmtId="1" fontId="0" fillId="0" borderId="4" xfId="0" applyNumberFormat="1" applyBorder="1"/>
    <xf numFmtId="1" fontId="0" fillId="0" borderId="0" xfId="0" applyNumberFormat="1"/>
    <xf numFmtId="1" fontId="0" fillId="0" borderId="6" xfId="0" applyNumberFormat="1" applyBorder="1"/>
    <xf numFmtId="0" fontId="4" fillId="0" borderId="0" xfId="0" applyFont="1"/>
    <xf numFmtId="0" fontId="0" fillId="0" borderId="1" xfId="0" applyFill="1" applyBorder="1" applyAlignment="1">
      <alignment horizontal="right"/>
    </xf>
    <xf numFmtId="0" fontId="0" fillId="0" borderId="7" xfId="0" applyFill="1" applyBorder="1" applyAlignment="1">
      <alignment horizontal="right"/>
    </xf>
    <xf numFmtId="0" fontId="0" fillId="0" borderId="2" xfId="0" applyFill="1" applyBorder="1" applyAlignment="1">
      <alignment horizontal="right"/>
    </xf>
    <xf numFmtId="1" fontId="0" fillId="0" borderId="0" xfId="0" applyNumberFormat="1" applyBorder="1"/>
    <xf numFmtId="1" fontId="0" fillId="0" borderId="8" xfId="0" applyNumberFormat="1" applyBorder="1"/>
    <xf numFmtId="0" fontId="0" fillId="0" borderId="0" xfId="0" applyAlignment="1">
      <alignment vertical="top" wrapText="1"/>
    </xf>
    <xf numFmtId="0" fontId="0" fillId="0" borderId="9" xfId="0" applyFill="1" applyBorder="1"/>
    <xf numFmtId="0" fontId="0" fillId="2" borderId="4" xfId="0" applyFill="1" applyBorder="1"/>
    <xf numFmtId="2" fontId="0" fillId="0" borderId="0" xfId="0" applyNumberFormat="1" applyAlignment="1">
      <alignment horizontal="right"/>
    </xf>
    <xf numFmtId="165" fontId="0" fillId="0" borderId="0" xfId="0" applyNumberFormat="1"/>
    <xf numFmtId="0" fontId="1" fillId="0" borderId="0" xfId="0" applyFont="1" applyAlignment="1">
      <alignment horizontal="right"/>
    </xf>
    <xf numFmtId="0" fontId="0" fillId="2" borderId="10" xfId="0" applyFill="1" applyBorder="1"/>
    <xf numFmtId="0" fontId="0" fillId="0" borderId="0" xfId="0" applyFont="1"/>
    <xf numFmtId="0" fontId="0" fillId="0" borderId="7" xfId="0" quotePrefix="1" applyBorder="1" applyAlignment="1">
      <alignment horizontal="right"/>
    </xf>
    <xf numFmtId="165" fontId="0" fillId="0" borderId="0" xfId="0" applyNumberFormat="1" applyBorder="1"/>
    <xf numFmtId="165" fontId="0" fillId="0" borderId="0" xfId="0" applyNumberFormat="1" applyFont="1" applyBorder="1"/>
    <xf numFmtId="165" fontId="0" fillId="0" borderId="4" xfId="0" applyNumberFormat="1" applyFont="1" applyBorder="1"/>
    <xf numFmtId="165" fontId="0" fillId="0" borderId="8" xfId="0" applyNumberFormat="1" applyBorder="1"/>
    <xf numFmtId="165" fontId="0" fillId="0" borderId="8" xfId="0" applyNumberFormat="1" applyFont="1" applyBorder="1"/>
    <xf numFmtId="165" fontId="0" fillId="0" borderId="6" xfId="0" applyNumberFormat="1" applyFont="1" applyBorder="1"/>
    <xf numFmtId="0" fontId="4" fillId="0" borderId="0" xfId="0" applyFont="1" applyBorder="1" applyAlignment="1">
      <alignment horizontal="right"/>
    </xf>
    <xf numFmtId="0" fontId="4" fillId="0" borderId="4" xfId="0" applyFont="1" applyBorder="1" applyAlignment="1">
      <alignment horizontal="right"/>
    </xf>
    <xf numFmtId="164" fontId="0" fillId="0" borderId="0" xfId="0" applyNumberFormat="1" applyAlignment="1">
      <alignment horizontal="right"/>
    </xf>
    <xf numFmtId="2" fontId="0" fillId="2" borderId="10" xfId="0" applyNumberFormat="1" applyFill="1" applyBorder="1"/>
    <xf numFmtId="165" fontId="0" fillId="0" borderId="0" xfId="0" applyNumberFormat="1" applyAlignment="1">
      <alignment horizontal="right"/>
    </xf>
    <xf numFmtId="0" fontId="0" fillId="0" borderId="12" xfId="0" applyBorder="1"/>
    <xf numFmtId="166" fontId="0" fillId="2" borderId="10" xfId="0" applyNumberFormat="1" applyFill="1" applyBorder="1"/>
    <xf numFmtId="165" fontId="0" fillId="2" borderId="10" xfId="0" applyNumberFormat="1" applyFill="1" applyBorder="1"/>
    <xf numFmtId="166" fontId="0" fillId="0" borderId="0" xfId="0" applyNumberFormat="1"/>
    <xf numFmtId="166" fontId="0" fillId="0" borderId="10" xfId="1" applyNumberFormat="1" applyFont="1" applyBorder="1"/>
    <xf numFmtId="165" fontId="0" fillId="0" borderId="10" xfId="0" applyNumberFormat="1" applyBorder="1"/>
    <xf numFmtId="165" fontId="0" fillId="0" borderId="10" xfId="1" applyNumberFormat="1" applyFont="1" applyBorder="1"/>
    <xf numFmtId="0" fontId="1" fillId="0" borderId="0" xfId="0" applyFont="1" applyAlignment="1">
      <alignment wrapText="1"/>
    </xf>
    <xf numFmtId="0" fontId="1" fillId="0" borderId="0" xfId="0" applyFont="1" applyAlignment="1">
      <alignment vertical="top" wrapText="1"/>
    </xf>
    <xf numFmtId="0" fontId="0" fillId="0" borderId="0" xfId="0" quotePrefix="1" applyBorder="1" applyAlignment="1">
      <alignment horizontal="right"/>
    </xf>
    <xf numFmtId="0" fontId="1" fillId="0" borderId="0" xfId="0" applyFont="1" applyBorder="1"/>
    <xf numFmtId="0" fontId="1" fillId="0" borderId="0" xfId="0" applyFont="1" applyBorder="1" applyAlignment="1">
      <alignment horizontal="right"/>
    </xf>
    <xf numFmtId="0" fontId="0" fillId="0" borderId="0" xfId="0" applyFill="1" applyBorder="1" applyAlignment="1">
      <alignment horizontal="right"/>
    </xf>
    <xf numFmtId="0" fontId="0" fillId="0" borderId="0" xfId="0" applyAlignment="1">
      <alignment horizontal="left"/>
    </xf>
    <xf numFmtId="166" fontId="0" fillId="3" borderId="10" xfId="0" applyNumberFormat="1" applyFill="1" applyBorder="1"/>
    <xf numFmtId="165" fontId="0" fillId="3" borderId="10" xfId="0" applyNumberFormat="1" applyFill="1" applyBorder="1"/>
    <xf numFmtId="166" fontId="1" fillId="0" borderId="0" xfId="0" applyNumberFormat="1" applyFont="1"/>
    <xf numFmtId="0" fontId="0" fillId="0" borderId="5" xfId="0" applyBorder="1" applyAlignment="1">
      <alignment horizontal="right"/>
    </xf>
    <xf numFmtId="165" fontId="0" fillId="0" borderId="6" xfId="0" applyNumberFormat="1" applyBorder="1"/>
    <xf numFmtId="164" fontId="0" fillId="0" borderId="0" xfId="0" applyNumberFormat="1" applyBorder="1" applyAlignment="1">
      <alignment horizontal="right"/>
    </xf>
    <xf numFmtId="164" fontId="0" fillId="0" borderId="3" xfId="0" applyNumberFormat="1" applyBorder="1"/>
    <xf numFmtId="164" fontId="0" fillId="0" borderId="5" xfId="0" applyNumberFormat="1" applyBorder="1"/>
    <xf numFmtId="164" fontId="0" fillId="0" borderId="8" xfId="0" applyNumberFormat="1" applyBorder="1" applyAlignment="1">
      <alignment horizontal="right"/>
    </xf>
    <xf numFmtId="0" fontId="0" fillId="0" borderId="4" xfId="0" applyBorder="1" applyAlignment="1">
      <alignment horizontal="right"/>
    </xf>
    <xf numFmtId="0" fontId="1" fillId="0" borderId="1" xfId="0" applyFont="1" applyBorder="1"/>
    <xf numFmtId="0" fontId="10" fillId="0" borderId="0" xfId="0" applyFont="1"/>
    <xf numFmtId="0" fontId="0" fillId="0" borderId="0" xfId="0" applyFont="1" applyAlignment="1">
      <alignment wrapText="1"/>
    </xf>
    <xf numFmtId="0" fontId="0" fillId="0" borderId="12" xfId="0" applyFill="1" applyBorder="1"/>
    <xf numFmtId="0" fontId="0" fillId="0" borderId="4" xfId="0" applyBorder="1"/>
    <xf numFmtId="1" fontId="0" fillId="2" borderId="0" xfId="0" applyNumberFormat="1" applyFill="1" applyBorder="1" applyAlignment="1">
      <alignment horizontal="right"/>
    </xf>
    <xf numFmtId="0" fontId="0" fillId="0" borderId="10" xfId="0" applyBorder="1"/>
    <xf numFmtId="0" fontId="0" fillId="0" borderId="10" xfId="0" applyFill="1" applyBorder="1"/>
    <xf numFmtId="0" fontId="1" fillId="0" borderId="3" xfId="0" applyFont="1" applyBorder="1"/>
    <xf numFmtId="2" fontId="0" fillId="0" borderId="5" xfId="0" applyNumberFormat="1" applyBorder="1"/>
    <xf numFmtId="2" fontId="0" fillId="0" borderId="3" xfId="0" applyNumberFormat="1" applyBorder="1"/>
    <xf numFmtId="0" fontId="1" fillId="0" borderId="1" xfId="0" applyFont="1" applyBorder="1" applyAlignment="1">
      <alignment horizontal="right"/>
    </xf>
    <xf numFmtId="0" fontId="1" fillId="0" borderId="7" xfId="0" applyFont="1" applyFill="1" applyBorder="1" applyAlignment="1">
      <alignment horizontal="right"/>
    </xf>
    <xf numFmtId="0" fontId="1" fillId="0" borderId="7" xfId="0" applyFont="1" applyBorder="1" applyAlignment="1">
      <alignment horizontal="right"/>
    </xf>
    <xf numFmtId="2" fontId="1" fillId="0" borderId="7" xfId="0" applyNumberFormat="1" applyFont="1" applyBorder="1" applyAlignment="1">
      <alignment horizontal="right"/>
    </xf>
    <xf numFmtId="2" fontId="1" fillId="0" borderId="2" xfId="0" applyNumberFormat="1" applyFont="1" applyBorder="1" applyAlignment="1">
      <alignment horizontal="right"/>
    </xf>
    <xf numFmtId="1" fontId="0" fillId="0" borderId="10" xfId="0" applyNumberFormat="1" applyFill="1" applyBorder="1"/>
    <xf numFmtId="0" fontId="4" fillId="0" borderId="1" xfId="0" applyFont="1" applyBorder="1" applyAlignment="1">
      <alignment horizontal="right"/>
    </xf>
    <xf numFmtId="2" fontId="0" fillId="0" borderId="10" xfId="0" applyNumberFormat="1" applyBorder="1"/>
    <xf numFmtId="1" fontId="1" fillId="0" borderId="0" xfId="0" applyNumberFormat="1" applyFont="1" applyBorder="1"/>
    <xf numFmtId="2" fontId="1" fillId="0" borderId="0" xfId="0" applyNumberFormat="1" applyFont="1" applyBorder="1"/>
    <xf numFmtId="0" fontId="1" fillId="0" borderId="1" xfId="0" applyFont="1" applyBorder="1" applyAlignment="1">
      <alignment horizontal="center" wrapText="1"/>
    </xf>
    <xf numFmtId="0" fontId="1" fillId="0" borderId="7" xfId="0" applyFont="1" applyBorder="1" applyAlignment="1">
      <alignment horizontal="center" wrapText="1"/>
    </xf>
    <xf numFmtId="0" fontId="1" fillId="0" borderId="2" xfId="0" applyFont="1" applyBorder="1" applyAlignment="1">
      <alignment horizontal="center" wrapText="1"/>
    </xf>
    <xf numFmtId="165" fontId="1" fillId="0" borderId="5" xfId="0" applyNumberFormat="1" applyFont="1" applyBorder="1"/>
    <xf numFmtId="165" fontId="1" fillId="0" borderId="8" xfId="0" applyNumberFormat="1" applyFont="1" applyBorder="1"/>
    <xf numFmtId="165" fontId="1" fillId="0" borderId="6" xfId="0" applyNumberFormat="1" applyFont="1" applyBorder="1"/>
    <xf numFmtId="164" fontId="0" fillId="0" borderId="2" xfId="0" applyNumberFormat="1" applyBorder="1"/>
    <xf numFmtId="1" fontId="1" fillId="0" borderId="8" xfId="0" applyNumberFormat="1" applyFont="1" applyBorder="1"/>
    <xf numFmtId="0" fontId="4" fillId="0" borderId="4" xfId="0" applyFont="1" applyBorder="1"/>
    <xf numFmtId="0" fontId="4" fillId="0" borderId="6" xfId="0" applyFont="1" applyBorder="1"/>
    <xf numFmtId="0" fontId="1" fillId="0" borderId="0" xfId="0" applyFont="1" applyAlignment="1">
      <alignment horizontal="left"/>
    </xf>
    <xf numFmtId="0" fontId="1" fillId="0" borderId="0" xfId="0" applyFont="1" applyAlignment="1">
      <alignment horizontal="center" vertical="center"/>
    </xf>
    <xf numFmtId="0" fontId="0" fillId="0" borderId="0" xfId="0" applyAlignment="1">
      <alignment horizontal="right" vertical="center"/>
    </xf>
    <xf numFmtId="0" fontId="0" fillId="2" borderId="10" xfId="0" applyFill="1" applyBorder="1" applyAlignment="1">
      <alignment vertical="center"/>
    </xf>
    <xf numFmtId="1" fontId="0" fillId="0" borderId="10" xfId="0" applyNumberFormat="1" applyBorder="1"/>
    <xf numFmtId="2" fontId="0" fillId="0" borderId="10" xfId="0" applyNumberFormat="1" applyFill="1" applyBorder="1"/>
    <xf numFmtId="166" fontId="0" fillId="0" borderId="10" xfId="0" applyNumberFormat="1" applyFill="1" applyBorder="1"/>
    <xf numFmtId="165" fontId="0" fillId="0" borderId="9" xfId="0" applyNumberFormat="1" applyFill="1" applyBorder="1"/>
    <xf numFmtId="166" fontId="0" fillId="0" borderId="9" xfId="0" applyNumberFormat="1" applyFill="1" applyBorder="1"/>
    <xf numFmtId="2" fontId="0" fillId="0" borderId="11" xfId="0" applyNumberFormat="1" applyFill="1" applyBorder="1"/>
    <xf numFmtId="164" fontId="0" fillId="0" borderId="10" xfId="0" applyNumberFormat="1" applyFill="1" applyBorder="1"/>
    <xf numFmtId="165" fontId="0" fillId="0" borderId="4" xfId="0" applyNumberFormat="1" applyBorder="1" applyAlignment="1">
      <alignment horizontal="right"/>
    </xf>
    <xf numFmtId="165" fontId="0" fillId="0" borderId="6" xfId="0" applyNumberFormat="1" applyBorder="1" applyAlignment="1">
      <alignment horizontal="right"/>
    </xf>
    <xf numFmtId="165" fontId="0" fillId="0" borderId="0" xfId="0" applyNumberFormat="1" applyFill="1" applyBorder="1"/>
    <xf numFmtId="165" fontId="0" fillId="0" borderId="0" xfId="0" applyNumberFormat="1" applyBorder="1" applyAlignment="1">
      <alignment horizontal="right"/>
    </xf>
    <xf numFmtId="164" fontId="0" fillId="0" borderId="0" xfId="0" applyNumberFormat="1" applyBorder="1"/>
    <xf numFmtId="0" fontId="0" fillId="3" borderId="9" xfId="0" applyFill="1" applyBorder="1"/>
    <xf numFmtId="0" fontId="1" fillId="0" borderId="8" xfId="0" applyFont="1" applyFill="1" applyBorder="1" applyAlignment="1">
      <alignment horizontal="right" wrapText="1"/>
    </xf>
    <xf numFmtId="0" fontId="0" fillId="0" borderId="8" xfId="0" applyBorder="1" applyAlignment="1">
      <alignment horizontal="right" wrapText="1"/>
    </xf>
    <xf numFmtId="0" fontId="1" fillId="0" borderId="8" xfId="0" applyFont="1" applyBorder="1" applyAlignment="1">
      <alignment horizontal="right" wrapText="1"/>
    </xf>
  </cellXfs>
  <cellStyles count="2">
    <cellStyle name="Currency" xfId="1" builtinId="4"/>
    <cellStyle name="Normal"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a:t>
            </a:r>
          </a:p>
        </c:rich>
      </c:tx>
      <c:layout>
        <c:manualLayout>
          <c:xMode val="edge"/>
          <c:yMode val="edge"/>
          <c:x val="0.18422711653796894"/>
          <c:y val="0.11574074074074074"/>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'WPF Model'!$B$8</c:f>
              <c:strCache>
                <c:ptCount val="1"/>
                <c:pt idx="0">
                  <c:v>-2.91</c:v>
                </c:pt>
              </c:strCache>
            </c:strRef>
          </c:tx>
          <c:marker>
            <c:symbol val="none"/>
          </c:marker>
          <c:xVal>
            <c:numRef>
              <c:f>'WPF Model'!$A$13:$A$22</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Model'!$B$13:$B$22</c:f>
              <c:numCache>
                <c:formatCode>0.00</c:formatCode>
                <c:ptCount val="10"/>
                <c:pt idx="0">
                  <c:v>-1.4976028571428566</c:v>
                </c:pt>
                <c:pt idx="1">
                  <c:v>-0.98729142857142826</c:v>
                </c:pt>
                <c:pt idx="2">
                  <c:v>-0.53517999999999954</c:v>
                </c:pt>
                <c:pt idx="3">
                  <c:v>-0.14126857142857113</c:v>
                </c:pt>
                <c:pt idx="4">
                  <c:v>0.19444285714285758</c:v>
                </c:pt>
                <c:pt idx="5">
                  <c:v>0.47195428571428644</c:v>
                </c:pt>
                <c:pt idx="6">
                  <c:v>0.69126571428571459</c:v>
                </c:pt>
                <c:pt idx="7">
                  <c:v>0.85237714285714294</c:v>
                </c:pt>
                <c:pt idx="8">
                  <c:v>0.95528857142857149</c:v>
                </c:pt>
                <c:pt idx="9">
                  <c:v>1.0000000000000004</c:v>
                </c:pt>
              </c:numCache>
            </c:numRef>
          </c:yVal>
          <c:smooth val="1"/>
          <c:extLst>
            <c:ext xmlns:c16="http://schemas.microsoft.com/office/drawing/2014/chart" uri="{C3380CC4-5D6E-409C-BE32-E72D297353CC}">
              <c16:uniqueId val="{00000000-5556-4A0A-9DBC-D6E3EC9CE061}"/>
            </c:ext>
          </c:extLst>
        </c:ser>
        <c:ser>
          <c:idx val="1"/>
          <c:order val="1"/>
          <c:spPr>
            <a:ln>
              <a:prstDash val="sysDot"/>
            </a:ln>
          </c:spPr>
          <c:marker>
            <c:symbol val="none"/>
          </c:marker>
          <c:xVal>
            <c:numRef>
              <c:f>'WPF Model'!$J$5:$J$6</c:f>
              <c:numCache>
                <c:formatCode>General</c:formatCode>
                <c:ptCount val="2"/>
                <c:pt idx="0">
                  <c:v>0</c:v>
                </c:pt>
                <c:pt idx="1">
                  <c:v>1</c:v>
                </c:pt>
              </c:numCache>
            </c:numRef>
          </c:xVal>
          <c:yVal>
            <c:numRef>
              <c:f>'WPF Model'!$K$5:$K$6</c:f>
              <c:numCache>
                <c:formatCode>General</c:formatCode>
                <c:ptCount val="2"/>
                <c:pt idx="0">
                  <c:v>0</c:v>
                </c:pt>
                <c:pt idx="1">
                  <c:v>1</c:v>
                </c:pt>
              </c:numCache>
            </c:numRef>
          </c:yVal>
          <c:smooth val="1"/>
          <c:extLst>
            <c:ext xmlns:c16="http://schemas.microsoft.com/office/drawing/2014/chart" uri="{C3380CC4-5D6E-409C-BE32-E72D297353CC}">
              <c16:uniqueId val="{00000001-5556-4A0A-9DBC-D6E3EC9CE061}"/>
            </c:ext>
          </c:extLst>
        </c:ser>
        <c:ser>
          <c:idx val="2"/>
          <c:order val="2"/>
          <c:tx>
            <c:v>WP=1</c:v>
          </c:tx>
          <c:spPr>
            <a:ln>
              <a:noFill/>
            </a:ln>
          </c:spPr>
          <c:marker>
            <c:symbol val="diamond"/>
            <c:size val="8"/>
            <c:spPr>
              <a:solidFill>
                <a:schemeClr val="tx1"/>
              </a:solidFill>
              <a:ln>
                <a:solidFill>
                  <a:schemeClr val="tx1"/>
                </a:solidFill>
              </a:ln>
            </c:spPr>
          </c:marker>
          <c:xVal>
            <c:numRef>
              <c:f>'WPF Model'!$B$30</c:f>
              <c:numCache>
                <c:formatCode>0.00</c:formatCode>
                <c:ptCount val="1"/>
                <c:pt idx="0">
                  <c:v>0.71000490918016634</c:v>
                </c:pt>
              </c:numCache>
            </c:numRef>
          </c:xVal>
          <c:yVal>
            <c:numRef>
              <c:f>'WPF Model'!$C$30</c:f>
              <c:numCache>
                <c:formatCode>0.00</c:formatCode>
                <c:ptCount val="1"/>
                <c:pt idx="0">
                  <c:v>0.71000490918016612</c:v>
                </c:pt>
              </c:numCache>
            </c:numRef>
          </c:yVal>
          <c:smooth val="1"/>
          <c:extLst>
            <c:ext xmlns:c16="http://schemas.microsoft.com/office/drawing/2014/chart" uri="{C3380CC4-5D6E-409C-BE32-E72D297353CC}">
              <c16:uniqueId val="{00000002-5556-4A0A-9DBC-D6E3EC9CE061}"/>
            </c:ext>
          </c:extLst>
        </c:ser>
        <c:ser>
          <c:idx val="3"/>
          <c:order val="3"/>
          <c:tx>
            <c:v>WPmax</c:v>
          </c:tx>
          <c:spPr>
            <a:ln>
              <a:noFill/>
            </a:ln>
          </c:spPr>
          <c:marker>
            <c:symbol val="circle"/>
            <c:size val="7"/>
            <c:spPr>
              <a:solidFill>
                <a:srgbClr val="FFC000"/>
              </a:solidFill>
              <a:ln>
                <a:solidFill>
                  <a:schemeClr val="tx1"/>
                </a:solidFill>
              </a:ln>
            </c:spPr>
          </c:marker>
          <c:xVal>
            <c:numRef>
              <c:f>'WPF Model'!$B$31</c:f>
              <c:numCache>
                <c:formatCode>0.00</c:formatCode>
                <c:ptCount val="1"/>
                <c:pt idx="0">
                  <c:v>0.84261789037508972</c:v>
                </c:pt>
              </c:numCache>
            </c:numRef>
          </c:xVal>
          <c:yVal>
            <c:numRef>
              <c:f>'WPF Model'!$C$31</c:f>
              <c:numCache>
                <c:formatCode>0.00</c:formatCode>
                <c:ptCount val="1"/>
                <c:pt idx="0">
                  <c:v>0.90335224064043729</c:v>
                </c:pt>
              </c:numCache>
            </c:numRef>
          </c:yVal>
          <c:smooth val="1"/>
          <c:extLst>
            <c:ext xmlns:c16="http://schemas.microsoft.com/office/drawing/2014/chart" uri="{C3380CC4-5D6E-409C-BE32-E72D297353CC}">
              <c16:uniqueId val="{00000003-5556-4A0A-9DBC-D6E3EC9CE061}"/>
            </c:ext>
          </c:extLst>
        </c:ser>
        <c:dLbls>
          <c:showLegendKey val="0"/>
          <c:showVal val="0"/>
          <c:showCatName val="0"/>
          <c:showSerName val="0"/>
          <c:showPercent val="0"/>
          <c:showBubbleSize val="0"/>
        </c:dLbls>
        <c:axId val="57596928"/>
        <c:axId val="57599488"/>
      </c:scatterChart>
      <c:valAx>
        <c:axId val="57596928"/>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cross"/>
        <c:minorTickMark val="cross"/>
        <c:tickLblPos val="nextTo"/>
        <c:txPr>
          <a:bodyPr/>
          <a:lstStyle/>
          <a:p>
            <a:pPr>
              <a:defRPr sz="1050"/>
            </a:pPr>
            <a:endParaRPr lang="en-US"/>
          </a:p>
        </c:txPr>
        <c:crossAx val="57599488"/>
        <c:crosses val="autoZero"/>
        <c:crossBetween val="midCat"/>
        <c:minorUnit val="0.1"/>
      </c:valAx>
      <c:valAx>
        <c:axId val="57599488"/>
        <c:scaling>
          <c:orientation val="minMax"/>
          <c:max val="1"/>
          <c:min val="0"/>
        </c:scaling>
        <c:delete val="0"/>
        <c:axPos val="l"/>
        <c:majorGridlines>
          <c:spPr>
            <a:ln>
              <a:noFill/>
            </a:ln>
          </c:spPr>
        </c:majorGridlines>
        <c:title>
          <c:tx>
            <c:rich>
              <a:bodyPr rot="-5400000" vert="horz"/>
              <a:lstStyle/>
              <a:p>
                <a:pPr>
                  <a:defRPr sz="1100"/>
                </a:pPr>
                <a:r>
                  <a:rPr lang="en-US" sz="1100"/>
                  <a:t>Relative Yield, </a:t>
                </a:r>
                <a:r>
                  <a:rPr lang="en-US" sz="1100" i="1"/>
                  <a:t>Y</a:t>
                </a:r>
                <a:r>
                  <a:rPr lang="en-US" sz="1100" i="1" baseline="-25000"/>
                  <a:t>R</a:t>
                </a:r>
              </a:p>
            </c:rich>
          </c:tx>
          <c:overlay val="0"/>
        </c:title>
        <c:numFmt formatCode="0.0" sourceLinked="0"/>
        <c:majorTickMark val="cross"/>
        <c:minorTickMark val="cross"/>
        <c:tickLblPos val="nextTo"/>
        <c:txPr>
          <a:bodyPr/>
          <a:lstStyle/>
          <a:p>
            <a:pPr>
              <a:defRPr sz="1050"/>
            </a:pPr>
            <a:endParaRPr lang="en-US"/>
          </a:p>
        </c:txPr>
        <c:crossAx val="57596928"/>
        <c:crosses val="autoZero"/>
        <c:crossBetween val="midCat"/>
        <c:majorUnit val="0.2"/>
        <c:minorUnit val="0.1"/>
      </c:valAx>
      <c:spPr>
        <a:ln>
          <a:solidFill>
            <a:schemeClr val="tx1"/>
          </a:solidFill>
        </a:ln>
      </c:spPr>
    </c:plotArea>
    <c:legend>
      <c:legendPos val="r"/>
      <c:legendEntry>
        <c:idx val="1"/>
        <c:delete val="1"/>
      </c:legendEntry>
      <c:layout>
        <c:manualLayout>
          <c:xMode val="edge"/>
          <c:yMode val="edge"/>
          <c:x val="0.69684380032206117"/>
          <c:y val="0.51832640711577715"/>
          <c:w val="0.19700508450936385"/>
          <c:h val="0.20948490813648293"/>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9397327625401"/>
          <c:y val="5.1400554097404488E-2"/>
          <c:w val="0.78199981826002718"/>
          <c:h val="0.79856800015867035"/>
        </c:manualLayout>
      </c:layout>
      <c:scatterChart>
        <c:scatterStyle val="smoothMarker"/>
        <c:varyColors val="0"/>
        <c:ser>
          <c:idx val="0"/>
          <c:order val="0"/>
          <c:marker>
            <c:symbol val="none"/>
          </c:marker>
          <c:xVal>
            <c:numRef>
              <c:f>EconModel!$A$29:$A$64</c:f>
              <c:numCache>
                <c:formatCode>General</c:formatCode>
                <c:ptCount val="36"/>
                <c:pt idx="0">
                  <c:v>1</c:v>
                </c:pt>
                <c:pt idx="1">
                  <c:v>0.98</c:v>
                </c:pt>
                <c:pt idx="2">
                  <c:v>0.96</c:v>
                </c:pt>
                <c:pt idx="3">
                  <c:v>0.94</c:v>
                </c:pt>
                <c:pt idx="4">
                  <c:v>0.91999999999999993</c:v>
                </c:pt>
                <c:pt idx="5">
                  <c:v>0.89999999999999991</c:v>
                </c:pt>
                <c:pt idx="6">
                  <c:v>0.87999999999999989</c:v>
                </c:pt>
                <c:pt idx="7">
                  <c:v>0.85999999999999988</c:v>
                </c:pt>
                <c:pt idx="8">
                  <c:v>0.83999999999999986</c:v>
                </c:pt>
                <c:pt idx="9">
                  <c:v>0.81999999999999984</c:v>
                </c:pt>
                <c:pt idx="10">
                  <c:v>0.79999999999999982</c:v>
                </c:pt>
                <c:pt idx="11">
                  <c:v>0.7799999999999998</c:v>
                </c:pt>
                <c:pt idx="12">
                  <c:v>0.75999999999999979</c:v>
                </c:pt>
                <c:pt idx="13">
                  <c:v>0.73999999999999977</c:v>
                </c:pt>
                <c:pt idx="14">
                  <c:v>0.71999999999999975</c:v>
                </c:pt>
                <c:pt idx="15">
                  <c:v>0.69999999999999973</c:v>
                </c:pt>
                <c:pt idx="16">
                  <c:v>0.67999999999999972</c:v>
                </c:pt>
                <c:pt idx="17">
                  <c:v>0.6599999999999997</c:v>
                </c:pt>
                <c:pt idx="18">
                  <c:v>0.63999999999999968</c:v>
                </c:pt>
                <c:pt idx="19">
                  <c:v>0.61999999999999966</c:v>
                </c:pt>
                <c:pt idx="20">
                  <c:v>0.59999999999999964</c:v>
                </c:pt>
                <c:pt idx="21">
                  <c:v>0.57999999999999963</c:v>
                </c:pt>
                <c:pt idx="22">
                  <c:v>0.55999999999999961</c:v>
                </c:pt>
                <c:pt idx="23">
                  <c:v>0.53999999999999959</c:v>
                </c:pt>
                <c:pt idx="24">
                  <c:v>0.51999999999999957</c:v>
                </c:pt>
                <c:pt idx="25">
                  <c:v>0.49999999999999956</c:v>
                </c:pt>
                <c:pt idx="26">
                  <c:v>0.47999999999999954</c:v>
                </c:pt>
                <c:pt idx="27">
                  <c:v>0.45999999999999952</c:v>
                </c:pt>
                <c:pt idx="28">
                  <c:v>0.4399999999999995</c:v>
                </c:pt>
                <c:pt idx="29">
                  <c:v>0.41999999999999948</c:v>
                </c:pt>
                <c:pt idx="30">
                  <c:v>0.39999999999999947</c:v>
                </c:pt>
                <c:pt idx="31">
                  <c:v>0.37999999999999945</c:v>
                </c:pt>
                <c:pt idx="32">
                  <c:v>0.35999999999999943</c:v>
                </c:pt>
                <c:pt idx="33">
                  <c:v>0.33999999999999941</c:v>
                </c:pt>
                <c:pt idx="34">
                  <c:v>0.3199999999999994</c:v>
                </c:pt>
                <c:pt idx="35">
                  <c:v>0.29999999999999938</c:v>
                </c:pt>
              </c:numCache>
            </c:numRef>
          </c:xVal>
          <c:yVal>
            <c:numRef>
              <c:f>EconModel!$I$29:$I$64</c:f>
              <c:numCache>
                <c:formatCode>"$"#,##0</c:formatCode>
                <c:ptCount val="36"/>
                <c:pt idx="0">
                  <c:v>91.000000000000341</c:v>
                </c:pt>
                <c:pt idx="1">
                  <c:v>154.01533263570764</c:v>
                </c:pt>
                <c:pt idx="2">
                  <c:v>210.87290406458118</c:v>
                </c:pt>
                <c:pt idx="3">
                  <c:v>261.75978826262957</c:v>
                </c:pt>
                <c:pt idx="4">
                  <c:v>306.83770279286136</c:v>
                </c:pt>
                <c:pt idx="5">
                  <c:v>346.24716587466742</c:v>
                </c:pt>
                <c:pt idx="6">
                  <c:v>380.11086166916323</c:v>
                </c:pt>
                <c:pt idx="7">
                  <c:v>408.53638431590787</c:v>
                </c:pt>
                <c:pt idx="8">
                  <c:v>431.61849053249233</c:v>
                </c:pt>
                <c:pt idx="9">
                  <c:v>449.44096048806057</c:v>
                </c:pt>
                <c:pt idx="10">
                  <c:v>462.07814419225735</c:v>
                </c:pt>
                <c:pt idx="11">
                  <c:v>469.59625371193681</c:v>
                </c:pt>
                <c:pt idx="12">
                  <c:v>472.05444866168051</c:v>
                </c:pt>
                <c:pt idx="13">
                  <c:v>469.50575255554349</c:v>
                </c:pt>
                <c:pt idx="14">
                  <c:v>461.99782999511484</c:v>
                </c:pt>
                <c:pt idx="15">
                  <c:v>449.57364874816017</c:v>
                </c:pt>
                <c:pt idx="16">
                  <c:v>432.27204613538839</c:v>
                </c:pt>
                <c:pt idx="17">
                  <c:v>410.1282154880389</c:v>
                </c:pt>
                <c:pt idx="18">
                  <c:v>383.17412554027027</c:v>
                </c:pt>
                <c:pt idx="19">
                  <c:v>351.43888330791856</c:v>
                </c:pt>
                <c:pt idx="20">
                  <c:v>314.94904915020618</c:v>
                </c:pt>
                <c:pt idx="21">
                  <c:v>273.72891121495292</c:v>
                </c:pt>
                <c:pt idx="22">
                  <c:v>227.80072525537426</c:v>
                </c:pt>
                <c:pt idx="23">
                  <c:v>177.18492481904948</c:v>
                </c:pt>
                <c:pt idx="24">
                  <c:v>121.90030600169037</c:v>
                </c:pt>
                <c:pt idx="25">
                  <c:v>61.964190294437621</c:v>
                </c:pt>
                <c:pt idx="26">
                  <c:v>-6.3303183520284847</c:v>
                </c:pt>
                <c:pt idx="27">
                  <c:v>-88.893785714287787</c:v>
                </c:pt>
                <c:pt idx="28">
                  <c:v>-198</c:v>
                </c:pt>
                <c:pt idx="29">
                  <c:v>-198</c:v>
                </c:pt>
                <c:pt idx="30">
                  <c:v>-198</c:v>
                </c:pt>
                <c:pt idx="31">
                  <c:v>-198</c:v>
                </c:pt>
                <c:pt idx="32">
                  <c:v>-198</c:v>
                </c:pt>
                <c:pt idx="33">
                  <c:v>-198</c:v>
                </c:pt>
                <c:pt idx="34">
                  <c:v>-198</c:v>
                </c:pt>
                <c:pt idx="35">
                  <c:v>-198</c:v>
                </c:pt>
              </c:numCache>
            </c:numRef>
          </c:yVal>
          <c:smooth val="1"/>
          <c:extLst>
            <c:ext xmlns:c16="http://schemas.microsoft.com/office/drawing/2014/chart" uri="{C3380CC4-5D6E-409C-BE32-E72D297353CC}">
              <c16:uniqueId val="{00000001-D39D-4D2E-A547-249F0EFD03C9}"/>
            </c:ext>
          </c:extLst>
        </c:ser>
        <c:ser>
          <c:idx val="6"/>
          <c:order val="1"/>
          <c:tx>
            <c:v>Xop</c:v>
          </c:tx>
          <c:spPr>
            <a:ln>
              <a:noFill/>
            </a:ln>
          </c:spPr>
          <c:marker>
            <c:symbol val="x"/>
            <c:size val="10"/>
            <c:spPr>
              <a:ln w="19050">
                <a:solidFill>
                  <a:schemeClr val="tx1"/>
                </a:solidFill>
              </a:ln>
            </c:spPr>
          </c:marker>
          <c:xVal>
            <c:numRef>
              <c:f>EconModel!$M$50</c:f>
              <c:numCache>
                <c:formatCode>General</c:formatCode>
                <c:ptCount val="1"/>
                <c:pt idx="0">
                  <c:v>0.75999999999999979</c:v>
                </c:pt>
              </c:numCache>
            </c:numRef>
          </c:xVal>
          <c:yVal>
            <c:numRef>
              <c:f>EconModel!$M$51</c:f>
              <c:numCache>
                <c:formatCode>"$"#,##0</c:formatCode>
                <c:ptCount val="1"/>
                <c:pt idx="0">
                  <c:v>472.05444866168051</c:v>
                </c:pt>
              </c:numCache>
            </c:numRef>
          </c:yVal>
          <c:smooth val="1"/>
          <c:extLst>
            <c:ext xmlns:c16="http://schemas.microsoft.com/office/drawing/2014/chart" uri="{C3380CC4-5D6E-409C-BE32-E72D297353CC}">
              <c16:uniqueId val="{00000000-A1E1-4A6C-AB56-4802151F286B}"/>
            </c:ext>
          </c:extLst>
        </c:ser>
        <c:ser>
          <c:idx val="1"/>
          <c:order val="2"/>
          <c:tx>
            <c:v>Xop'</c:v>
          </c:tx>
          <c:spPr>
            <a:ln>
              <a:noFill/>
            </a:ln>
          </c:spPr>
          <c:marker>
            <c:symbol val="circle"/>
            <c:size val="7"/>
            <c:spPr>
              <a:solidFill>
                <a:schemeClr val="tx1"/>
              </a:solidFill>
              <a:ln>
                <a:solidFill>
                  <a:schemeClr val="tx1"/>
                </a:solidFill>
              </a:ln>
            </c:spPr>
          </c:marker>
          <c:xVal>
            <c:numRef>
              <c:f>EconModel!$B$75</c:f>
              <c:numCache>
                <c:formatCode>0.000</c:formatCode>
                <c:ptCount val="1"/>
                <c:pt idx="0">
                  <c:v>0.76938489466978355</c:v>
                </c:pt>
              </c:numCache>
            </c:numRef>
          </c:xVal>
          <c:yVal>
            <c:numRef>
              <c:f>EconModel!$C$75</c:f>
              <c:numCache>
                <c:formatCode>"$"#,##0</c:formatCode>
                <c:ptCount val="1"/>
                <c:pt idx="0">
                  <c:v>471.52754735714797</c:v>
                </c:pt>
              </c:numCache>
            </c:numRef>
          </c:yVal>
          <c:smooth val="1"/>
          <c:extLst>
            <c:ext xmlns:c16="http://schemas.microsoft.com/office/drawing/2014/chart" uri="{C3380CC4-5D6E-409C-BE32-E72D297353CC}">
              <c16:uniqueId val="{00000002-D39D-4D2E-A547-249F0EFD03C9}"/>
            </c:ext>
          </c:extLst>
        </c:ser>
        <c:dLbls>
          <c:showLegendKey val="0"/>
          <c:showVal val="0"/>
          <c:showCatName val="0"/>
          <c:showSerName val="0"/>
          <c:showPercent val="0"/>
          <c:showBubbleSize val="0"/>
        </c:dLbls>
        <c:axId val="54024832"/>
        <c:axId val="54043776"/>
      </c:scatterChart>
      <c:valAx>
        <c:axId val="54024832"/>
        <c:scaling>
          <c:orientation val="minMax"/>
          <c:max val="1"/>
          <c:min val="0.30000000000000004"/>
        </c:scaling>
        <c:delete val="0"/>
        <c:axPos val="b"/>
        <c:title>
          <c:tx>
            <c:rich>
              <a:bodyPr/>
              <a:lstStyle/>
              <a:p>
                <a:pPr>
                  <a:defRPr sz="1400"/>
                </a:pPr>
                <a:r>
                  <a:rPr lang="en-US" sz="1400"/>
                  <a:t>Relative ET, </a:t>
                </a:r>
                <a:r>
                  <a:rPr lang="en-US" sz="1400" i="1"/>
                  <a:t>x</a:t>
                </a:r>
              </a:p>
            </c:rich>
          </c:tx>
          <c:layout>
            <c:manualLayout>
              <c:xMode val="edge"/>
              <c:yMode val="edge"/>
              <c:x val="0.48801741549751959"/>
              <c:y val="0.92363885109262189"/>
            </c:manualLayout>
          </c:layout>
          <c:overlay val="0"/>
        </c:title>
        <c:numFmt formatCode="General" sourceLinked="1"/>
        <c:majorTickMark val="out"/>
        <c:minorTickMark val="out"/>
        <c:tickLblPos val="nextTo"/>
        <c:txPr>
          <a:bodyPr/>
          <a:lstStyle/>
          <a:p>
            <a:pPr>
              <a:defRPr sz="1100" b="1"/>
            </a:pPr>
            <a:endParaRPr lang="en-US"/>
          </a:p>
        </c:txPr>
        <c:crossAx val="54043776"/>
        <c:crossesAt val="-200"/>
        <c:crossBetween val="midCat"/>
        <c:majorUnit val="0.1"/>
        <c:minorUnit val="5.000000000000001E-2"/>
      </c:valAx>
      <c:valAx>
        <c:axId val="54043776"/>
        <c:scaling>
          <c:orientation val="minMax"/>
          <c:min val="-200"/>
        </c:scaling>
        <c:delete val="0"/>
        <c:axPos val="l"/>
        <c:majorGridlines/>
        <c:title>
          <c:tx>
            <c:rich>
              <a:bodyPr rot="-5400000" vert="horz"/>
              <a:lstStyle/>
              <a:p>
                <a:pPr>
                  <a:defRPr sz="1400"/>
                </a:pPr>
                <a:r>
                  <a:rPr lang="en-US" sz="1400"/>
                  <a:t>Net Income ($/ha)</a:t>
                </a:r>
              </a:p>
            </c:rich>
          </c:tx>
          <c:overlay val="0"/>
        </c:title>
        <c:numFmt formatCode="&quot;$&quot;#,##0" sourceLinked="1"/>
        <c:majorTickMark val="out"/>
        <c:minorTickMark val="none"/>
        <c:tickLblPos val="nextTo"/>
        <c:txPr>
          <a:bodyPr/>
          <a:lstStyle/>
          <a:p>
            <a:pPr>
              <a:defRPr sz="1050" b="1"/>
            </a:pPr>
            <a:endParaRPr lang="en-US"/>
          </a:p>
        </c:txPr>
        <c:crossAx val="54024832"/>
        <c:crossesAt val="-200"/>
        <c:crossBetween val="midCat"/>
      </c:valAx>
      <c:spPr>
        <a:ln>
          <a:solidFill>
            <a:schemeClr val="tx1"/>
          </a:solidFill>
        </a:ln>
      </c:spPr>
    </c:plotArea>
    <c:legend>
      <c:legendPos val="r"/>
      <c:legendEntry>
        <c:idx val="0"/>
        <c:delete val="1"/>
      </c:legendEntry>
      <c:layout>
        <c:manualLayout>
          <c:xMode val="edge"/>
          <c:yMode val="edge"/>
          <c:x val="0.18939785653849775"/>
          <c:y val="7.6130030345703009E-2"/>
          <c:w val="0.14792968100702963"/>
          <c:h val="0.11830363309849429"/>
        </c:manualLayout>
      </c:layout>
      <c:overlay val="1"/>
      <c:spPr>
        <a:solidFill>
          <a:schemeClr val="bg1"/>
        </a:solidFill>
        <a:ln>
          <a:solidFill>
            <a:schemeClr val="tx1"/>
          </a:solidFill>
        </a:ln>
      </c:spPr>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43787392925972"/>
          <c:y val="5.1400554097404488E-2"/>
          <c:w val="0.79830477020072987"/>
          <c:h val="0.80338664465808629"/>
        </c:manualLayout>
      </c:layout>
      <c:scatterChart>
        <c:scatterStyle val="smoothMarker"/>
        <c:varyColors val="0"/>
        <c:ser>
          <c:idx val="0"/>
          <c:order val="0"/>
          <c:tx>
            <c:v>Exact</c:v>
          </c:tx>
          <c:marker>
            <c:symbol val="none"/>
          </c:marker>
          <c:xVal>
            <c:numRef>
              <c:f>EconModel!$A$29:$A$64</c:f>
              <c:numCache>
                <c:formatCode>General</c:formatCode>
                <c:ptCount val="36"/>
                <c:pt idx="0">
                  <c:v>1</c:v>
                </c:pt>
                <c:pt idx="1">
                  <c:v>0.98</c:v>
                </c:pt>
                <c:pt idx="2">
                  <c:v>0.96</c:v>
                </c:pt>
                <c:pt idx="3">
                  <c:v>0.94</c:v>
                </c:pt>
                <c:pt idx="4">
                  <c:v>0.91999999999999993</c:v>
                </c:pt>
                <c:pt idx="5">
                  <c:v>0.89999999999999991</c:v>
                </c:pt>
                <c:pt idx="6">
                  <c:v>0.87999999999999989</c:v>
                </c:pt>
                <c:pt idx="7">
                  <c:v>0.85999999999999988</c:v>
                </c:pt>
                <c:pt idx="8">
                  <c:v>0.83999999999999986</c:v>
                </c:pt>
                <c:pt idx="9">
                  <c:v>0.81999999999999984</c:v>
                </c:pt>
                <c:pt idx="10">
                  <c:v>0.79999999999999982</c:v>
                </c:pt>
                <c:pt idx="11">
                  <c:v>0.7799999999999998</c:v>
                </c:pt>
                <c:pt idx="12">
                  <c:v>0.75999999999999979</c:v>
                </c:pt>
                <c:pt idx="13">
                  <c:v>0.73999999999999977</c:v>
                </c:pt>
                <c:pt idx="14">
                  <c:v>0.71999999999999975</c:v>
                </c:pt>
                <c:pt idx="15">
                  <c:v>0.69999999999999973</c:v>
                </c:pt>
                <c:pt idx="16">
                  <c:v>0.67999999999999972</c:v>
                </c:pt>
                <c:pt idx="17">
                  <c:v>0.6599999999999997</c:v>
                </c:pt>
                <c:pt idx="18">
                  <c:v>0.63999999999999968</c:v>
                </c:pt>
                <c:pt idx="19">
                  <c:v>0.61999999999999966</c:v>
                </c:pt>
                <c:pt idx="20">
                  <c:v>0.59999999999999964</c:v>
                </c:pt>
                <c:pt idx="21">
                  <c:v>0.57999999999999963</c:v>
                </c:pt>
                <c:pt idx="22">
                  <c:v>0.55999999999999961</c:v>
                </c:pt>
                <c:pt idx="23">
                  <c:v>0.53999999999999959</c:v>
                </c:pt>
                <c:pt idx="24">
                  <c:v>0.51999999999999957</c:v>
                </c:pt>
                <c:pt idx="25">
                  <c:v>0.49999999999999956</c:v>
                </c:pt>
                <c:pt idx="26">
                  <c:v>0.47999999999999954</c:v>
                </c:pt>
                <c:pt idx="27">
                  <c:v>0.45999999999999952</c:v>
                </c:pt>
                <c:pt idx="28">
                  <c:v>0.4399999999999995</c:v>
                </c:pt>
                <c:pt idx="29">
                  <c:v>0.41999999999999948</c:v>
                </c:pt>
                <c:pt idx="30">
                  <c:v>0.39999999999999947</c:v>
                </c:pt>
                <c:pt idx="31">
                  <c:v>0.37999999999999945</c:v>
                </c:pt>
                <c:pt idx="32">
                  <c:v>0.35999999999999943</c:v>
                </c:pt>
                <c:pt idx="33">
                  <c:v>0.33999999999999941</c:v>
                </c:pt>
                <c:pt idx="34">
                  <c:v>0.3199999999999994</c:v>
                </c:pt>
                <c:pt idx="35">
                  <c:v>0.29999999999999938</c:v>
                </c:pt>
              </c:numCache>
            </c:numRef>
          </c:xVal>
          <c:yVal>
            <c:numRef>
              <c:f>EconModel!$I$29:$I$64</c:f>
              <c:numCache>
                <c:formatCode>"$"#,##0</c:formatCode>
                <c:ptCount val="36"/>
                <c:pt idx="0">
                  <c:v>91.000000000000341</c:v>
                </c:pt>
                <c:pt idx="1">
                  <c:v>154.01533263570764</c:v>
                </c:pt>
                <c:pt idx="2">
                  <c:v>210.87290406458118</c:v>
                </c:pt>
                <c:pt idx="3">
                  <c:v>261.75978826262957</c:v>
                </c:pt>
                <c:pt idx="4">
                  <c:v>306.83770279286136</c:v>
                </c:pt>
                <c:pt idx="5">
                  <c:v>346.24716587466742</c:v>
                </c:pt>
                <c:pt idx="6">
                  <c:v>380.11086166916323</c:v>
                </c:pt>
                <c:pt idx="7">
                  <c:v>408.53638431590787</c:v>
                </c:pt>
                <c:pt idx="8">
                  <c:v>431.61849053249233</c:v>
                </c:pt>
                <c:pt idx="9">
                  <c:v>449.44096048806057</c:v>
                </c:pt>
                <c:pt idx="10">
                  <c:v>462.07814419225735</c:v>
                </c:pt>
                <c:pt idx="11">
                  <c:v>469.59625371193681</c:v>
                </c:pt>
                <c:pt idx="12">
                  <c:v>472.05444866168051</c:v>
                </c:pt>
                <c:pt idx="13">
                  <c:v>469.50575255554349</c:v>
                </c:pt>
                <c:pt idx="14">
                  <c:v>461.99782999511484</c:v>
                </c:pt>
                <c:pt idx="15">
                  <c:v>449.57364874816017</c:v>
                </c:pt>
                <c:pt idx="16">
                  <c:v>432.27204613538839</c:v>
                </c:pt>
                <c:pt idx="17">
                  <c:v>410.1282154880389</c:v>
                </c:pt>
                <c:pt idx="18">
                  <c:v>383.17412554027027</c:v>
                </c:pt>
                <c:pt idx="19">
                  <c:v>351.43888330791856</c:v>
                </c:pt>
                <c:pt idx="20">
                  <c:v>314.94904915020618</c:v>
                </c:pt>
                <c:pt idx="21">
                  <c:v>273.72891121495292</c:v>
                </c:pt>
                <c:pt idx="22">
                  <c:v>227.80072525537426</c:v>
                </c:pt>
                <c:pt idx="23">
                  <c:v>177.18492481904948</c:v>
                </c:pt>
                <c:pt idx="24">
                  <c:v>121.90030600169037</c:v>
                </c:pt>
                <c:pt idx="25">
                  <c:v>61.964190294437621</c:v>
                </c:pt>
                <c:pt idx="26">
                  <c:v>-6.3303183520284847</c:v>
                </c:pt>
                <c:pt idx="27">
                  <c:v>-88.893785714287787</c:v>
                </c:pt>
                <c:pt idx="28">
                  <c:v>-198</c:v>
                </c:pt>
                <c:pt idx="29">
                  <c:v>-198</c:v>
                </c:pt>
                <c:pt idx="30">
                  <c:v>-198</c:v>
                </c:pt>
                <c:pt idx="31">
                  <c:v>-198</c:v>
                </c:pt>
                <c:pt idx="32">
                  <c:v>-198</c:v>
                </c:pt>
                <c:pt idx="33">
                  <c:v>-198</c:v>
                </c:pt>
                <c:pt idx="34">
                  <c:v>-198</c:v>
                </c:pt>
                <c:pt idx="35">
                  <c:v>-198</c:v>
                </c:pt>
              </c:numCache>
            </c:numRef>
          </c:yVal>
          <c:smooth val="1"/>
          <c:extLst>
            <c:ext xmlns:c16="http://schemas.microsoft.com/office/drawing/2014/chart" uri="{C3380CC4-5D6E-409C-BE32-E72D297353CC}">
              <c16:uniqueId val="{00000000-AC72-411E-8F36-BFBCF8E5FF07}"/>
            </c:ext>
          </c:extLst>
        </c:ser>
        <c:ser>
          <c:idx val="1"/>
          <c:order val="1"/>
          <c:tx>
            <c:v>Approx</c:v>
          </c:tx>
          <c:spPr>
            <a:ln>
              <a:prstDash val="sysDot"/>
            </a:ln>
          </c:spPr>
          <c:marker>
            <c:symbol val="none"/>
          </c:marker>
          <c:xVal>
            <c:numRef>
              <c:f>EconModel!$E$73:$E$96</c:f>
              <c:numCache>
                <c:formatCode>General</c:formatCode>
                <c:ptCount val="24"/>
                <c:pt idx="0">
                  <c:v>1</c:v>
                </c:pt>
                <c:pt idx="1">
                  <c:v>0.98</c:v>
                </c:pt>
                <c:pt idx="2">
                  <c:v>0.96</c:v>
                </c:pt>
                <c:pt idx="3">
                  <c:v>0.94</c:v>
                </c:pt>
                <c:pt idx="4">
                  <c:v>0.91999999999999993</c:v>
                </c:pt>
                <c:pt idx="5">
                  <c:v>0.89999999999999991</c:v>
                </c:pt>
                <c:pt idx="6">
                  <c:v>0.87999999999999989</c:v>
                </c:pt>
                <c:pt idx="7">
                  <c:v>0.85999999999999988</c:v>
                </c:pt>
                <c:pt idx="8">
                  <c:v>0.83999999999999986</c:v>
                </c:pt>
                <c:pt idx="9">
                  <c:v>0.81999999999999984</c:v>
                </c:pt>
                <c:pt idx="10">
                  <c:v>0.79999999999999982</c:v>
                </c:pt>
                <c:pt idx="11">
                  <c:v>0.7799999999999998</c:v>
                </c:pt>
                <c:pt idx="12">
                  <c:v>0.75999999999999979</c:v>
                </c:pt>
                <c:pt idx="13">
                  <c:v>0.73999999999999977</c:v>
                </c:pt>
                <c:pt idx="14">
                  <c:v>0.71999999999999975</c:v>
                </c:pt>
                <c:pt idx="15">
                  <c:v>0.69999999999999973</c:v>
                </c:pt>
                <c:pt idx="16">
                  <c:v>0.67999999999999972</c:v>
                </c:pt>
                <c:pt idx="17">
                  <c:v>0.6599999999999997</c:v>
                </c:pt>
                <c:pt idx="18">
                  <c:v>0.63999999999999968</c:v>
                </c:pt>
                <c:pt idx="19">
                  <c:v>0.61999999999999966</c:v>
                </c:pt>
                <c:pt idx="20">
                  <c:v>0.59999999999999964</c:v>
                </c:pt>
                <c:pt idx="21">
                  <c:v>0.57999999999999963</c:v>
                </c:pt>
                <c:pt idx="22">
                  <c:v>0.55999999999999961</c:v>
                </c:pt>
                <c:pt idx="23">
                  <c:v>0.53999999999999959</c:v>
                </c:pt>
              </c:numCache>
            </c:numRef>
          </c:xVal>
          <c:yVal>
            <c:numRef>
              <c:f>EconModel!$F$73:$F$96</c:f>
              <c:numCache>
                <c:formatCode>"$"#,##0</c:formatCode>
                <c:ptCount val="24"/>
                <c:pt idx="0">
                  <c:v>170.00692111657918</c:v>
                </c:pt>
                <c:pt idx="1">
                  <c:v>220.03829633871919</c:v>
                </c:pt>
                <c:pt idx="2">
                  <c:v>265.5339810944588</c:v>
                </c:pt>
                <c:pt idx="3">
                  <c:v>306.49397538380435</c:v>
                </c:pt>
                <c:pt idx="4">
                  <c:v>342.91827920675223</c:v>
                </c:pt>
                <c:pt idx="5">
                  <c:v>374.80689256330243</c:v>
                </c:pt>
                <c:pt idx="6">
                  <c:v>402.15981545345403</c:v>
                </c:pt>
                <c:pt idx="7">
                  <c:v>424.97704787720977</c:v>
                </c:pt>
                <c:pt idx="8">
                  <c:v>443.25858983456828</c:v>
                </c:pt>
                <c:pt idx="9">
                  <c:v>457.00444132552911</c:v>
                </c:pt>
                <c:pt idx="10">
                  <c:v>466.21460235009272</c:v>
                </c:pt>
                <c:pt idx="11">
                  <c:v>470.88907290825955</c:v>
                </c:pt>
                <c:pt idx="12">
                  <c:v>471.0278530000287</c:v>
                </c:pt>
                <c:pt idx="13">
                  <c:v>466.63094262540108</c:v>
                </c:pt>
                <c:pt idx="14">
                  <c:v>457.69834178437532</c:v>
                </c:pt>
                <c:pt idx="15">
                  <c:v>444.23005047695233</c:v>
                </c:pt>
                <c:pt idx="16">
                  <c:v>426.22606870313302</c:v>
                </c:pt>
                <c:pt idx="17">
                  <c:v>403.68639646291558</c:v>
                </c:pt>
                <c:pt idx="18">
                  <c:v>376.61103375630091</c:v>
                </c:pt>
                <c:pt idx="19">
                  <c:v>344.99998058328993</c:v>
                </c:pt>
                <c:pt idx="20">
                  <c:v>308.85323694388035</c:v>
                </c:pt>
                <c:pt idx="21">
                  <c:v>268.17080283807377</c:v>
                </c:pt>
                <c:pt idx="22">
                  <c:v>222.9526782658711</c:v>
                </c:pt>
                <c:pt idx="23">
                  <c:v>173.19886322726961</c:v>
                </c:pt>
              </c:numCache>
            </c:numRef>
          </c:yVal>
          <c:smooth val="1"/>
          <c:extLst>
            <c:ext xmlns:c16="http://schemas.microsoft.com/office/drawing/2014/chart" uri="{C3380CC4-5D6E-409C-BE32-E72D297353CC}">
              <c16:uniqueId val="{00000001-AC72-411E-8F36-BFBCF8E5FF07}"/>
            </c:ext>
          </c:extLst>
        </c:ser>
        <c:ser>
          <c:idx val="2"/>
          <c:order val="2"/>
          <c:tx>
            <c:strRef>
              <c:f>EconModel!$B$72</c:f>
              <c:strCache>
                <c:ptCount val="1"/>
                <c:pt idx="0">
                  <c:v>xop'</c:v>
                </c:pt>
              </c:strCache>
            </c:strRef>
          </c:tx>
          <c:spPr>
            <a:ln>
              <a:noFill/>
            </a:ln>
          </c:spPr>
          <c:marker>
            <c:symbol val="star"/>
            <c:size val="12"/>
            <c:spPr>
              <a:noFill/>
              <a:ln>
                <a:solidFill>
                  <a:schemeClr val="tx1"/>
                </a:solidFill>
              </a:ln>
            </c:spPr>
          </c:marker>
          <c:xVal>
            <c:numRef>
              <c:f>EconModel!$B$75</c:f>
              <c:numCache>
                <c:formatCode>0.000</c:formatCode>
                <c:ptCount val="1"/>
                <c:pt idx="0">
                  <c:v>0.76938489466978355</c:v>
                </c:pt>
              </c:numCache>
            </c:numRef>
          </c:xVal>
          <c:yVal>
            <c:numRef>
              <c:f>EconModel!$C$75</c:f>
              <c:numCache>
                <c:formatCode>"$"#,##0</c:formatCode>
                <c:ptCount val="1"/>
                <c:pt idx="0">
                  <c:v>471.52754735714797</c:v>
                </c:pt>
              </c:numCache>
            </c:numRef>
          </c:yVal>
          <c:smooth val="1"/>
          <c:extLst>
            <c:ext xmlns:c16="http://schemas.microsoft.com/office/drawing/2014/chart" uri="{C3380CC4-5D6E-409C-BE32-E72D297353CC}">
              <c16:uniqueId val="{00000002-AC72-411E-8F36-BFBCF8E5FF07}"/>
            </c:ext>
          </c:extLst>
        </c:ser>
        <c:dLbls>
          <c:showLegendKey val="0"/>
          <c:showVal val="0"/>
          <c:showCatName val="0"/>
          <c:showSerName val="0"/>
          <c:showPercent val="0"/>
          <c:showBubbleSize val="0"/>
        </c:dLbls>
        <c:axId val="57563008"/>
        <c:axId val="62869888"/>
      </c:scatterChart>
      <c:valAx>
        <c:axId val="57563008"/>
        <c:scaling>
          <c:orientation val="minMax"/>
          <c:max val="1"/>
          <c:min val="0.30000000000000004"/>
        </c:scaling>
        <c:delete val="0"/>
        <c:axPos val="b"/>
        <c:title>
          <c:tx>
            <c:rich>
              <a:bodyPr/>
              <a:lstStyle/>
              <a:p>
                <a:pPr>
                  <a:defRPr sz="1050"/>
                </a:pPr>
                <a:r>
                  <a:rPr lang="en-US" sz="1050"/>
                  <a:t>Relative ET, </a:t>
                </a:r>
                <a:r>
                  <a:rPr lang="en-US" sz="1050" i="1"/>
                  <a:t>x</a:t>
                </a:r>
              </a:p>
            </c:rich>
          </c:tx>
          <c:layout>
            <c:manualLayout>
              <c:xMode val="edge"/>
              <c:yMode val="edge"/>
              <c:x val="0.49121102787042892"/>
              <c:y val="0.93119314759875982"/>
            </c:manualLayout>
          </c:layout>
          <c:overlay val="0"/>
        </c:title>
        <c:numFmt formatCode="General" sourceLinked="1"/>
        <c:majorTickMark val="out"/>
        <c:minorTickMark val="out"/>
        <c:tickLblPos val="nextTo"/>
        <c:txPr>
          <a:bodyPr/>
          <a:lstStyle/>
          <a:p>
            <a:pPr>
              <a:defRPr sz="1050"/>
            </a:pPr>
            <a:endParaRPr lang="en-US"/>
          </a:p>
        </c:txPr>
        <c:crossAx val="62869888"/>
        <c:crosses val="autoZero"/>
        <c:crossBetween val="midCat"/>
        <c:majorUnit val="0.1"/>
        <c:minorUnit val="5.000000000000001E-2"/>
      </c:valAx>
      <c:valAx>
        <c:axId val="62869888"/>
        <c:scaling>
          <c:orientation val="minMax"/>
          <c:min val="0"/>
        </c:scaling>
        <c:delete val="0"/>
        <c:axPos val="l"/>
        <c:majorGridlines/>
        <c:title>
          <c:tx>
            <c:rich>
              <a:bodyPr rot="-5400000" vert="horz"/>
              <a:lstStyle/>
              <a:p>
                <a:pPr>
                  <a:defRPr sz="1050"/>
                </a:pPr>
                <a:r>
                  <a:rPr lang="en-US" sz="1050"/>
                  <a:t>Net Income ($/ha)</a:t>
                </a:r>
              </a:p>
            </c:rich>
          </c:tx>
          <c:overlay val="0"/>
        </c:title>
        <c:numFmt formatCode="&quot;$&quot;#,##0" sourceLinked="1"/>
        <c:majorTickMark val="out"/>
        <c:minorTickMark val="none"/>
        <c:tickLblPos val="nextTo"/>
        <c:txPr>
          <a:bodyPr/>
          <a:lstStyle/>
          <a:p>
            <a:pPr>
              <a:defRPr sz="1050"/>
            </a:pPr>
            <a:endParaRPr lang="en-US"/>
          </a:p>
        </c:txPr>
        <c:crossAx val="57563008"/>
        <c:crosses val="autoZero"/>
        <c:crossBetween val="midCat"/>
      </c:valAx>
      <c:spPr>
        <a:ln>
          <a:solidFill>
            <a:schemeClr val="tx1"/>
          </a:solidFill>
        </a:ln>
      </c:spPr>
    </c:plotArea>
    <c:legend>
      <c:legendPos val="r"/>
      <c:layout>
        <c:manualLayout>
          <c:xMode val="edge"/>
          <c:yMode val="edge"/>
          <c:x val="0.1979256560389672"/>
          <c:y val="9.5375488036294628E-2"/>
          <c:w val="0.25454709772103601"/>
          <c:h val="0.16713405158632791"/>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9397327625401"/>
          <c:y val="5.1400554097404488E-2"/>
          <c:w val="0.78199981826002718"/>
          <c:h val="0.79856800015867035"/>
        </c:manualLayout>
      </c:layout>
      <c:scatterChart>
        <c:scatterStyle val="smoothMarker"/>
        <c:varyColors val="0"/>
        <c:ser>
          <c:idx val="0"/>
          <c:order val="0"/>
          <c:marker>
            <c:symbol val="none"/>
          </c:marker>
          <c:xVal>
            <c:numRef>
              <c:f>'EconModel II'!$A$29:$A$64</c:f>
              <c:numCache>
                <c:formatCode>General</c:formatCode>
                <c:ptCount val="36"/>
                <c:pt idx="0">
                  <c:v>1</c:v>
                </c:pt>
                <c:pt idx="1">
                  <c:v>0.98</c:v>
                </c:pt>
                <c:pt idx="2">
                  <c:v>0.96</c:v>
                </c:pt>
                <c:pt idx="3">
                  <c:v>0.94</c:v>
                </c:pt>
                <c:pt idx="4">
                  <c:v>0.91999999999999993</c:v>
                </c:pt>
                <c:pt idx="5">
                  <c:v>0.89999999999999991</c:v>
                </c:pt>
                <c:pt idx="6">
                  <c:v>0.87999999999999989</c:v>
                </c:pt>
                <c:pt idx="7">
                  <c:v>0.85999999999999988</c:v>
                </c:pt>
                <c:pt idx="8">
                  <c:v>0.83999999999999986</c:v>
                </c:pt>
                <c:pt idx="9">
                  <c:v>0.81999999999999984</c:v>
                </c:pt>
                <c:pt idx="10">
                  <c:v>0.79999999999999982</c:v>
                </c:pt>
                <c:pt idx="11">
                  <c:v>0.7799999999999998</c:v>
                </c:pt>
                <c:pt idx="12">
                  <c:v>0.75999999999999979</c:v>
                </c:pt>
                <c:pt idx="13">
                  <c:v>0.73999999999999977</c:v>
                </c:pt>
                <c:pt idx="14">
                  <c:v>0.71999999999999975</c:v>
                </c:pt>
                <c:pt idx="15">
                  <c:v>0.69999999999999973</c:v>
                </c:pt>
                <c:pt idx="16">
                  <c:v>0.67999999999999972</c:v>
                </c:pt>
                <c:pt idx="17">
                  <c:v>0.6599999999999997</c:v>
                </c:pt>
                <c:pt idx="18">
                  <c:v>0.63999999999999968</c:v>
                </c:pt>
                <c:pt idx="19">
                  <c:v>0.61999999999999966</c:v>
                </c:pt>
                <c:pt idx="20">
                  <c:v>0.59999999999999964</c:v>
                </c:pt>
                <c:pt idx="21">
                  <c:v>0.57999999999999963</c:v>
                </c:pt>
                <c:pt idx="22">
                  <c:v>0.55999999999999961</c:v>
                </c:pt>
                <c:pt idx="23">
                  <c:v>0.53999999999999959</c:v>
                </c:pt>
                <c:pt idx="24">
                  <c:v>0.51999999999999957</c:v>
                </c:pt>
                <c:pt idx="25">
                  <c:v>0.49999999999999956</c:v>
                </c:pt>
                <c:pt idx="26">
                  <c:v>0.47999999999999954</c:v>
                </c:pt>
                <c:pt idx="27">
                  <c:v>0.45999999999999952</c:v>
                </c:pt>
                <c:pt idx="28">
                  <c:v>0.4399999999999995</c:v>
                </c:pt>
                <c:pt idx="29">
                  <c:v>0.41999999999999948</c:v>
                </c:pt>
                <c:pt idx="30">
                  <c:v>0.39999999999999947</c:v>
                </c:pt>
                <c:pt idx="31">
                  <c:v>0.37999999999999945</c:v>
                </c:pt>
                <c:pt idx="32">
                  <c:v>0.35999999999999943</c:v>
                </c:pt>
                <c:pt idx="33">
                  <c:v>0.33999999999999941</c:v>
                </c:pt>
                <c:pt idx="34">
                  <c:v>0.3199999999999994</c:v>
                </c:pt>
                <c:pt idx="35">
                  <c:v>0.29999999999999938</c:v>
                </c:pt>
              </c:numCache>
            </c:numRef>
          </c:xVal>
          <c:yVal>
            <c:numRef>
              <c:f>'EconModel II'!$I$29:$I$64</c:f>
              <c:numCache>
                <c:formatCode>"$"#,##0</c:formatCode>
                <c:ptCount val="36"/>
                <c:pt idx="0">
                  <c:v>91.000000000000341</c:v>
                </c:pt>
                <c:pt idx="1">
                  <c:v>231.3123529571003</c:v>
                </c:pt>
                <c:pt idx="2">
                  <c:v>357.19313867320392</c:v>
                </c:pt>
                <c:pt idx="3">
                  <c:v>469.76480100434804</c:v>
                </c:pt>
                <c:pt idx="4">
                  <c:v>569.9976453285949</c:v>
                </c:pt>
                <c:pt idx="5">
                  <c:v>658.73478096228268</c:v>
                </c:pt>
                <c:pt idx="6">
                  <c:v>736.71231287211651</c:v>
                </c:pt>
                <c:pt idx="7">
                  <c:v>804.57580589544102</c:v>
                </c:pt>
                <c:pt idx="8">
                  <c:v>862.89380033780913</c:v>
                </c:pt>
                <c:pt idx="9">
                  <c:v>912.16897721407474</c:v>
                </c:pt>
                <c:pt idx="10">
                  <c:v>952.84743658211084</c:v>
                </c:pt>
                <c:pt idx="11">
                  <c:v>985.32645084305079</c:v>
                </c:pt>
                <c:pt idx="12">
                  <c:v>1009.9609776843677</c:v>
                </c:pt>
                <c:pt idx="13">
                  <c:v>1027.0691581904025</c:v>
                </c:pt>
                <c:pt idx="14">
                  <c:v>1036.9369799706892</c:v>
                </c:pt>
                <c:pt idx="15">
                  <c:v>1039.8222496318133</c:v>
                </c:pt>
                <c:pt idx="16">
                  <c:v>1035.9579910980392</c:v>
                </c:pt>
                <c:pt idx="17">
                  <c:v>1025.5553643568048</c:v>
                </c:pt>
                <c:pt idx="18">
                  <c:v>1008.8061818130467</c:v>
                </c:pt>
                <c:pt idx="19">
                  <c:v>985.88508556179636</c:v>
                </c:pt>
                <c:pt idx="20">
                  <c:v>956.95143775838289</c:v>
                </c:pt>
                <c:pt idx="21">
                  <c:v>922.1509672897198</c:v>
                </c:pt>
                <c:pt idx="22">
                  <c:v>881.61720867510564</c:v>
                </c:pt>
                <c:pt idx="23">
                  <c:v>835.47276320001447</c:v>
                </c:pt>
                <c:pt idx="24">
                  <c:v>783.83040743871527</c:v>
                </c:pt>
                <c:pt idx="25">
                  <c:v>726.79407033805899</c:v>
                </c:pt>
                <c:pt idx="26">
                  <c:v>660.55437560211988</c:v>
                </c:pt>
                <c:pt idx="27">
                  <c:v>579.10621428571267</c:v>
                </c:pt>
                <c:pt idx="28">
                  <c:v>470.00000000000045</c:v>
                </c:pt>
                <c:pt idx="29">
                  <c:v>470.00000000000045</c:v>
                </c:pt>
                <c:pt idx="30">
                  <c:v>470.00000000000045</c:v>
                </c:pt>
                <c:pt idx="31">
                  <c:v>470.00000000000045</c:v>
                </c:pt>
                <c:pt idx="32">
                  <c:v>470.00000000000045</c:v>
                </c:pt>
                <c:pt idx="33">
                  <c:v>470.00000000000045</c:v>
                </c:pt>
                <c:pt idx="34">
                  <c:v>470.00000000000045</c:v>
                </c:pt>
                <c:pt idx="35">
                  <c:v>470.00000000000045</c:v>
                </c:pt>
              </c:numCache>
            </c:numRef>
          </c:yVal>
          <c:smooth val="1"/>
          <c:extLst>
            <c:ext xmlns:c16="http://schemas.microsoft.com/office/drawing/2014/chart" uri="{C3380CC4-5D6E-409C-BE32-E72D297353CC}">
              <c16:uniqueId val="{00000000-916A-4B6D-9A7E-8E37D700A028}"/>
            </c:ext>
          </c:extLst>
        </c:ser>
        <c:ser>
          <c:idx val="6"/>
          <c:order val="1"/>
          <c:tx>
            <c:strRef>
              <c:f>'EconModel II'!$L$50</c:f>
              <c:strCache>
                <c:ptCount val="1"/>
                <c:pt idx="0">
                  <c:v>xop</c:v>
                </c:pt>
              </c:strCache>
            </c:strRef>
          </c:tx>
          <c:spPr>
            <a:ln>
              <a:noFill/>
            </a:ln>
          </c:spPr>
          <c:marker>
            <c:symbol val="x"/>
            <c:size val="10"/>
            <c:spPr>
              <a:ln w="19050">
                <a:solidFill>
                  <a:schemeClr val="tx1"/>
                </a:solidFill>
              </a:ln>
            </c:spPr>
          </c:marker>
          <c:xVal>
            <c:numRef>
              <c:f>'EconModel II'!$M$50</c:f>
              <c:numCache>
                <c:formatCode>General</c:formatCode>
                <c:ptCount val="1"/>
                <c:pt idx="0">
                  <c:v>0.69999999999999973</c:v>
                </c:pt>
              </c:numCache>
            </c:numRef>
          </c:xVal>
          <c:yVal>
            <c:numRef>
              <c:f>'EconModel II'!$M$51</c:f>
              <c:numCache>
                <c:formatCode>"$"#,##0</c:formatCode>
                <c:ptCount val="1"/>
                <c:pt idx="0">
                  <c:v>1039.8222496318133</c:v>
                </c:pt>
              </c:numCache>
            </c:numRef>
          </c:yVal>
          <c:smooth val="1"/>
          <c:extLst>
            <c:ext xmlns:c16="http://schemas.microsoft.com/office/drawing/2014/chart" uri="{C3380CC4-5D6E-409C-BE32-E72D297353CC}">
              <c16:uniqueId val="{00000001-916A-4B6D-9A7E-8E37D700A028}"/>
            </c:ext>
          </c:extLst>
        </c:ser>
        <c:dLbls>
          <c:showLegendKey val="0"/>
          <c:showVal val="0"/>
          <c:showCatName val="0"/>
          <c:showSerName val="0"/>
          <c:showPercent val="0"/>
          <c:showBubbleSize val="0"/>
        </c:dLbls>
        <c:axId val="54024832"/>
        <c:axId val="54043776"/>
      </c:scatterChart>
      <c:valAx>
        <c:axId val="54024832"/>
        <c:scaling>
          <c:orientation val="minMax"/>
          <c:max val="1"/>
          <c:min val="0.30000000000000004"/>
        </c:scaling>
        <c:delete val="0"/>
        <c:axPos val="b"/>
        <c:title>
          <c:tx>
            <c:rich>
              <a:bodyPr/>
              <a:lstStyle/>
              <a:p>
                <a:pPr>
                  <a:defRPr sz="1400"/>
                </a:pPr>
                <a:r>
                  <a:rPr lang="en-US" sz="1400"/>
                  <a:t>Relative ET, </a:t>
                </a:r>
                <a:r>
                  <a:rPr lang="en-US" sz="1400" i="1"/>
                  <a:t>x</a:t>
                </a:r>
              </a:p>
            </c:rich>
          </c:tx>
          <c:layout>
            <c:manualLayout>
              <c:xMode val="edge"/>
              <c:yMode val="edge"/>
              <c:x val="0.48801741549751959"/>
              <c:y val="0.92363885109262189"/>
            </c:manualLayout>
          </c:layout>
          <c:overlay val="0"/>
        </c:title>
        <c:numFmt formatCode="General" sourceLinked="1"/>
        <c:majorTickMark val="out"/>
        <c:minorTickMark val="out"/>
        <c:tickLblPos val="nextTo"/>
        <c:txPr>
          <a:bodyPr/>
          <a:lstStyle/>
          <a:p>
            <a:pPr>
              <a:defRPr sz="1100" b="1"/>
            </a:pPr>
            <a:endParaRPr lang="en-US"/>
          </a:p>
        </c:txPr>
        <c:crossAx val="54043776"/>
        <c:crossesAt val="-200"/>
        <c:crossBetween val="midCat"/>
        <c:majorUnit val="0.1"/>
        <c:minorUnit val="5.000000000000001E-2"/>
      </c:valAx>
      <c:valAx>
        <c:axId val="54043776"/>
        <c:scaling>
          <c:orientation val="minMax"/>
          <c:min val="-200"/>
        </c:scaling>
        <c:delete val="0"/>
        <c:axPos val="l"/>
        <c:majorGridlines/>
        <c:title>
          <c:tx>
            <c:rich>
              <a:bodyPr rot="-5400000" vert="horz"/>
              <a:lstStyle/>
              <a:p>
                <a:pPr>
                  <a:defRPr sz="1400"/>
                </a:pPr>
                <a:r>
                  <a:rPr lang="en-US" sz="1400"/>
                  <a:t>Net Income ($/ha)</a:t>
                </a:r>
              </a:p>
            </c:rich>
          </c:tx>
          <c:overlay val="0"/>
        </c:title>
        <c:numFmt formatCode="&quot;$&quot;#,##0" sourceLinked="1"/>
        <c:majorTickMark val="out"/>
        <c:minorTickMark val="none"/>
        <c:tickLblPos val="nextTo"/>
        <c:txPr>
          <a:bodyPr/>
          <a:lstStyle/>
          <a:p>
            <a:pPr>
              <a:defRPr sz="1050" b="1"/>
            </a:pPr>
            <a:endParaRPr lang="en-US"/>
          </a:p>
        </c:txPr>
        <c:crossAx val="54024832"/>
        <c:crossesAt val="-200"/>
        <c:crossBetween val="midCat"/>
      </c:valAx>
      <c:spPr>
        <a:ln>
          <a:solidFill>
            <a:schemeClr val="tx1"/>
          </a:solidFill>
        </a:ln>
      </c:spPr>
    </c:plotArea>
    <c:legend>
      <c:legendPos val="r"/>
      <c:legendEntry>
        <c:idx val="0"/>
        <c:delete val="1"/>
      </c:legendEntry>
      <c:layout>
        <c:manualLayout>
          <c:xMode val="edge"/>
          <c:yMode val="edge"/>
          <c:x val="0.18939785653849775"/>
          <c:y val="7.6130030345703009E-2"/>
          <c:w val="0.14792968100702963"/>
          <c:h val="0.11830363309849429"/>
        </c:manualLayout>
      </c:layout>
      <c:overlay val="1"/>
      <c:spPr>
        <a:solidFill>
          <a:schemeClr val="bg1"/>
        </a:solidFill>
        <a:ln>
          <a:solidFill>
            <a:schemeClr val="tx1"/>
          </a:solidFill>
        </a:ln>
      </c:spPr>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8384971572403"/>
          <c:y val="5.1400554097404488E-2"/>
          <c:w val="0.72324890105596185"/>
          <c:h val="0.80338664465808629"/>
        </c:manualLayout>
      </c:layout>
      <c:scatterChart>
        <c:scatterStyle val="smoothMarker"/>
        <c:varyColors val="0"/>
        <c:ser>
          <c:idx val="5"/>
          <c:order val="1"/>
          <c:spPr>
            <a:ln>
              <a:solidFill>
                <a:schemeClr val="tx1"/>
              </a:solidFill>
              <a:prstDash val="sysDash"/>
            </a:ln>
          </c:spPr>
          <c:marker>
            <c:symbol val="none"/>
          </c:marker>
          <c:xVal>
            <c:numRef>
              <c:f>PriceSens!$H$11:$H$36</c:f>
              <c:numCache>
                <c:formatCode>"$"#,##0.00</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PriceSens!$E$11:$E$36</c:f>
              <c:numCache>
                <c:formatCode>0.000</c:formatCode>
                <c:ptCount val="26"/>
                <c:pt idx="0">
                  <c:v>0.96905937894495242</c:v>
                </c:pt>
                <c:pt idx="1">
                  <c:v>0.9500278365029583</c:v>
                </c:pt>
                <c:pt idx="2">
                  <c:v>0.93142662900106277</c:v>
                </c:pt>
                <c:pt idx="3">
                  <c:v>0.91324775812401526</c:v>
                </c:pt>
                <c:pt idx="4">
                  <c:v>0.89548221661349414</c:v>
                </c:pt>
                <c:pt idx="5">
                  <c:v>0.87812032914650584</c:v>
                </c:pt>
                <c:pt idx="6">
                  <c:v>0.86115200513886347</c:v>
                </c:pt>
                <c:pt idx="7">
                  <c:v>0.84456692694555835</c:v>
                </c:pt>
                <c:pt idx="8">
                  <c:v>0.82835469020238606</c:v>
                </c:pt>
                <c:pt idx="9">
                  <c:v>0.81250490840444811</c:v>
                </c:pt>
                <c:pt idx="10">
                  <c:v>0.79700729055886443</c:v>
                </c:pt>
                <c:pt idx="11">
                  <c:v>0.78185169843533309</c:v>
                </c:pt>
                <c:pt idx="12">
                  <c:v>0.76702818827544572</c:v>
                </c:pt>
                <c:pt idx="13">
                  <c:v>0.75252704061350917</c:v>
                </c:pt>
                <c:pt idx="14">
                  <c:v>0.73833878097479499</c:v>
                </c:pt>
                <c:pt idx="15">
                  <c:v>0.72445419356006213</c:v>
                </c:pt>
                <c:pt idx="16">
                  <c:v>0.71086432953412637</c:v>
                </c:pt>
                <c:pt idx="17">
                  <c:v>0.69756051116629192</c:v>
                </c:pt>
                <c:pt idx="18">
                  <c:v>0.68453433278971298</c:v>
                </c:pt>
                <c:pt idx="19">
                  <c:v>0.67177765933224065</c:v>
                </c:pt>
                <c:pt idx="20">
                  <c:v>0.65928262300638529</c:v>
                </c:pt>
                <c:pt idx="21">
                  <c:v>0.64704161861850829</c:v>
                </c:pt>
                <c:pt idx="22">
                  <c:v>0.63504729785824365</c:v>
                </c:pt>
                <c:pt idx="23">
                  <c:v>0.62329256285173595</c:v>
                </c:pt>
                <c:pt idx="24">
                  <c:v>0.61177055920158252</c:v>
                </c:pt>
                <c:pt idx="25">
                  <c:v>0.60047466868856703</c:v>
                </c:pt>
              </c:numCache>
            </c:numRef>
          </c:yVal>
          <c:smooth val="1"/>
          <c:extLst>
            <c:ext xmlns:c16="http://schemas.microsoft.com/office/drawing/2014/chart" uri="{C3380CC4-5D6E-409C-BE32-E72D297353CC}">
              <c16:uniqueId val="{00000000-0D00-4E5D-90E0-89039733A6E6}"/>
            </c:ext>
          </c:extLst>
        </c:ser>
        <c:dLbls>
          <c:showLegendKey val="0"/>
          <c:showVal val="0"/>
          <c:showCatName val="0"/>
          <c:showSerName val="0"/>
          <c:showPercent val="0"/>
          <c:showBubbleSize val="0"/>
        </c:dLbls>
        <c:axId val="167363712"/>
        <c:axId val="167365632"/>
      </c:scatterChart>
      <c:scatterChart>
        <c:scatterStyle val="smoothMarker"/>
        <c:varyColors val="0"/>
        <c:ser>
          <c:idx val="1"/>
          <c:order val="0"/>
          <c:tx>
            <c:strRef>
              <c:f>PriceSens!$G$7</c:f>
              <c:strCache>
                <c:ptCount val="1"/>
                <c:pt idx="0">
                  <c:v>0.20</c:v>
                </c:pt>
              </c:strCache>
            </c:strRef>
          </c:tx>
          <c:spPr>
            <a:ln>
              <a:solidFill>
                <a:schemeClr val="tx1"/>
              </a:solidFill>
            </a:ln>
          </c:spPr>
          <c:marker>
            <c:symbol val="none"/>
          </c:marker>
          <c:xVal>
            <c:numRef>
              <c:f>PriceSens!$H$11:$H$36</c:f>
              <c:numCache>
                <c:formatCode>"$"#,##0.00</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PriceSens!$F$11:$F$36</c:f>
              <c:numCache>
                <c:formatCode>"$"#,##0</c:formatCode>
                <c:ptCount val="26"/>
                <c:pt idx="0">
                  <c:v>363.93011718365454</c:v>
                </c:pt>
                <c:pt idx="1">
                  <c:v>382.05491130747697</c:v>
                </c:pt>
                <c:pt idx="2">
                  <c:v>403.06394528016313</c:v>
                </c:pt>
                <c:pt idx="3">
                  <c:v>426.99604071233307</c:v>
                </c:pt>
                <c:pt idx="4">
                  <c:v>453.86545195848203</c:v>
                </c:pt>
                <c:pt idx="5">
                  <c:v>483.66731784188551</c:v>
                </c:pt>
                <c:pt idx="6">
                  <c:v>516.38195766746139</c:v>
                </c:pt>
                <c:pt idx="7">
                  <c:v>551.97826451828985</c:v>
                </c:pt>
                <c:pt idx="8">
                  <c:v>590.41639197394795</c:v>
                </c:pt>
                <c:pt idx="9">
                  <c:v>631.64988615357765</c:v>
                </c:pt>
                <c:pt idx="10">
                  <c:v>675.6273808572472</c:v>
                </c:pt>
                <c:pt idx="11">
                  <c:v>722.29394733866707</c:v>
                </c:pt>
                <c:pt idx="12">
                  <c:v>771.59217007721008</c:v>
                </c:pt>
                <c:pt idx="13">
                  <c:v>823.46300440034179</c:v>
                </c:pt>
                <c:pt idx="14">
                  <c:v>877.84645983664052</c:v>
                </c:pt>
                <c:pt idx="15">
                  <c:v>934.68214381430937</c:v>
                </c:pt>
                <c:pt idx="16">
                  <c:v>993.90969312157461</c:v>
                </c:pt>
                <c:pt idx="17">
                  <c:v>1055.4691149304108</c:v>
                </c:pt>
                <c:pt idx="18">
                  <c:v>1119.3010547867871</c:v>
                </c:pt>
                <c:pt idx="19">
                  <c:v>1185.3470055111436</c:v>
                </c:pt>
                <c:pt idx="20">
                  <c:v>1253.549468220255</c:v>
                </c:pt>
                <c:pt idx="21">
                  <c:v>1323.8520745145001</c:v>
                </c:pt>
                <c:pt idx="22">
                  <c:v>1396.1996771488568</c:v>
                </c:pt>
                <c:pt idx="23">
                  <c:v>1470.5384151265598</c:v>
                </c:pt>
                <c:pt idx="24">
                  <c:v>1546.8157580476502</c:v>
                </c:pt>
                <c:pt idx="25">
                  <c:v>1624.9805336534598</c:v>
                </c:pt>
              </c:numCache>
            </c:numRef>
          </c:yVal>
          <c:smooth val="1"/>
          <c:extLst>
            <c:ext xmlns:c16="http://schemas.microsoft.com/office/drawing/2014/chart" uri="{C3380CC4-5D6E-409C-BE32-E72D297353CC}">
              <c16:uniqueId val="{00000001-0D00-4E5D-90E0-89039733A6E6}"/>
            </c:ext>
          </c:extLst>
        </c:ser>
        <c:dLbls>
          <c:showLegendKey val="0"/>
          <c:showVal val="0"/>
          <c:showCatName val="0"/>
          <c:showSerName val="0"/>
          <c:showPercent val="0"/>
          <c:showBubbleSize val="0"/>
        </c:dLbls>
        <c:axId val="167414784"/>
        <c:axId val="167412864"/>
      </c:scatterChart>
      <c:valAx>
        <c:axId val="167363712"/>
        <c:scaling>
          <c:orientation val="minMax"/>
          <c:max val="0.4"/>
        </c:scaling>
        <c:delete val="0"/>
        <c:axPos val="b"/>
        <c:title>
          <c:tx>
            <c:rich>
              <a:bodyPr/>
              <a:lstStyle/>
              <a:p>
                <a:pPr>
                  <a:defRPr sz="1400"/>
                </a:pPr>
                <a:r>
                  <a:rPr lang="en-US" sz="1400"/>
                  <a:t>Lease Price of Water, </a:t>
                </a:r>
                <a:r>
                  <a:rPr lang="en-US" sz="1400" i="1"/>
                  <a:t>Pw</a:t>
                </a:r>
                <a:r>
                  <a:rPr lang="en-US" sz="1400"/>
                  <a:t> ($/m</a:t>
                </a:r>
                <a:r>
                  <a:rPr lang="en-US" sz="1400" baseline="30000"/>
                  <a:t>3</a:t>
                </a:r>
                <a:r>
                  <a:rPr lang="en-US" sz="1400"/>
                  <a:t>)</a:t>
                </a:r>
              </a:p>
            </c:rich>
          </c:tx>
          <c:layout>
            <c:manualLayout>
              <c:xMode val="edge"/>
              <c:yMode val="edge"/>
              <c:x val="0.37304737007278427"/>
              <c:y val="0.93119314759875982"/>
            </c:manualLayout>
          </c:layout>
          <c:overlay val="0"/>
        </c:title>
        <c:numFmt formatCode="&quot;$&quot;#,##0.00" sourceLinked="1"/>
        <c:majorTickMark val="out"/>
        <c:minorTickMark val="out"/>
        <c:tickLblPos val="nextTo"/>
        <c:txPr>
          <a:bodyPr/>
          <a:lstStyle/>
          <a:p>
            <a:pPr>
              <a:defRPr sz="1200" b="1"/>
            </a:pPr>
            <a:endParaRPr lang="en-US"/>
          </a:p>
        </c:txPr>
        <c:crossAx val="167365632"/>
        <c:crosses val="autoZero"/>
        <c:crossBetween val="midCat"/>
      </c:valAx>
      <c:valAx>
        <c:axId val="167365632"/>
        <c:scaling>
          <c:orientation val="minMax"/>
          <c:max val="1"/>
        </c:scaling>
        <c:delete val="0"/>
        <c:axPos val="l"/>
        <c:majorGridlines/>
        <c:title>
          <c:tx>
            <c:rich>
              <a:bodyPr rot="-5400000" vert="horz"/>
              <a:lstStyle/>
              <a:p>
                <a:pPr>
                  <a:defRPr sz="1400"/>
                </a:pPr>
                <a:r>
                  <a:rPr lang="en-US" sz="1400" b="1" i="0" baseline="0">
                    <a:effectLst/>
                  </a:rPr>
                  <a:t>Optimum Relative ET, </a:t>
                </a:r>
                <a:r>
                  <a:rPr lang="en-US" sz="1400" b="1" i="1" baseline="0">
                    <a:effectLst/>
                  </a:rPr>
                  <a:t>x</a:t>
                </a:r>
                <a:r>
                  <a:rPr lang="en-US" sz="1400" b="1" i="1" baseline="-25000">
                    <a:effectLst/>
                  </a:rPr>
                  <a:t>op</a:t>
                </a:r>
                <a:endParaRPr lang="en-US" sz="1400" i="1">
                  <a:effectLst/>
                </a:endParaRPr>
              </a:p>
            </c:rich>
          </c:tx>
          <c:layout>
            <c:manualLayout>
              <c:xMode val="edge"/>
              <c:yMode val="edge"/>
              <c:x val="2.1551895385057543E-2"/>
              <c:y val="0.17307719700866536"/>
            </c:manualLayout>
          </c:layout>
          <c:overlay val="0"/>
        </c:title>
        <c:numFmt formatCode="0.0" sourceLinked="0"/>
        <c:majorTickMark val="out"/>
        <c:minorTickMark val="none"/>
        <c:tickLblPos val="nextTo"/>
        <c:txPr>
          <a:bodyPr/>
          <a:lstStyle/>
          <a:p>
            <a:pPr>
              <a:defRPr sz="1200" b="1"/>
            </a:pPr>
            <a:endParaRPr lang="en-US"/>
          </a:p>
        </c:txPr>
        <c:crossAx val="167363712"/>
        <c:crosses val="autoZero"/>
        <c:crossBetween val="midCat"/>
      </c:valAx>
      <c:valAx>
        <c:axId val="167412864"/>
        <c:scaling>
          <c:orientation val="minMax"/>
          <c:max val="2000"/>
          <c:min val="0"/>
        </c:scaling>
        <c:delete val="0"/>
        <c:axPos val="r"/>
        <c:title>
          <c:tx>
            <c:rich>
              <a:bodyPr rot="-5400000" vert="horz"/>
              <a:lstStyle/>
              <a:p>
                <a:pPr>
                  <a:defRPr/>
                </a:pPr>
                <a:r>
                  <a:rPr lang="en-US" sz="1400" b="1" i="0" baseline="0">
                    <a:effectLst/>
                  </a:rPr>
                  <a:t>Maximum Net Income, $/Ha</a:t>
                </a:r>
                <a:endParaRPr lang="en-US" sz="1400">
                  <a:effectLst/>
                </a:endParaRPr>
              </a:p>
            </c:rich>
          </c:tx>
          <c:overlay val="0"/>
        </c:title>
        <c:numFmt formatCode="0" sourceLinked="0"/>
        <c:majorTickMark val="out"/>
        <c:minorTickMark val="none"/>
        <c:tickLblPos val="nextTo"/>
        <c:txPr>
          <a:bodyPr/>
          <a:lstStyle/>
          <a:p>
            <a:pPr>
              <a:defRPr sz="1200" b="1"/>
            </a:pPr>
            <a:endParaRPr lang="en-US"/>
          </a:p>
        </c:txPr>
        <c:crossAx val="167414784"/>
        <c:crosses val="max"/>
        <c:crossBetween val="midCat"/>
      </c:valAx>
      <c:valAx>
        <c:axId val="167414784"/>
        <c:scaling>
          <c:orientation val="minMax"/>
        </c:scaling>
        <c:delete val="1"/>
        <c:axPos val="b"/>
        <c:numFmt formatCode="&quot;$&quot;#,##0.00" sourceLinked="1"/>
        <c:majorTickMark val="out"/>
        <c:minorTickMark val="none"/>
        <c:tickLblPos val="nextTo"/>
        <c:crossAx val="167412864"/>
        <c:crosses val="autoZero"/>
        <c:crossBetween val="midCat"/>
      </c:valAx>
      <c:spPr>
        <a:ln>
          <a:solidFill>
            <a:schemeClr val="tx1"/>
          </a:solidFill>
        </a:ln>
      </c:spPr>
    </c:plotArea>
    <c:legend>
      <c:legendPos val="r"/>
      <c:legendEntry>
        <c:idx val="0"/>
        <c:delete val="1"/>
      </c:legendEntry>
      <c:layout>
        <c:manualLayout>
          <c:xMode val="edge"/>
          <c:yMode val="edge"/>
          <c:x val="0.66479110401054942"/>
          <c:y val="0.72538016269411021"/>
          <c:w val="0.18839250434336713"/>
          <c:h val="0.1227981491026939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8384971572403"/>
          <c:y val="5.1400554097404488E-2"/>
          <c:w val="0.72324890105596185"/>
          <c:h val="0.80338664465808629"/>
        </c:manualLayout>
      </c:layout>
      <c:scatterChart>
        <c:scatterStyle val="smoothMarker"/>
        <c:varyColors val="0"/>
        <c:ser>
          <c:idx val="5"/>
          <c:order val="3"/>
          <c:spPr>
            <a:ln>
              <a:solidFill>
                <a:schemeClr val="accent5">
                  <a:lumMod val="75000"/>
                </a:schemeClr>
              </a:solidFill>
              <a:prstDash val="sysDash"/>
            </a:ln>
          </c:spPr>
          <c:marker>
            <c:symbol val="none"/>
          </c:marker>
          <c:xVal>
            <c:numRef>
              <c:f>PriceSens!$A$41:$A$66</c:f>
              <c:numCache>
                <c:formatCode>General</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PriceSens!$D$41:$D$66</c:f>
              <c:numCache>
                <c:formatCode>0.000</c:formatCode>
                <c:ptCount val="26"/>
                <c:pt idx="0">
                  <c:v>0.97135852869387507</c:v>
                </c:pt>
                <c:pt idx="1">
                  <c:v>0.95228384807560096</c:v>
                </c:pt>
                <c:pt idx="2">
                  <c:v>0.93363962373798315</c:v>
                </c:pt>
                <c:pt idx="3">
                  <c:v>0.91541810471714802</c:v>
                </c:pt>
                <c:pt idx="4">
                  <c:v>0.89761046440545023</c:v>
                </c:pt>
                <c:pt idx="5">
                  <c:v>0.88020715829979479</c:v>
                </c:pt>
                <c:pt idx="6">
                  <c:v>0.8631981891233893</c:v>
                </c:pt>
                <c:pt idx="7">
                  <c:v>0.8465733041240866</c:v>
                </c:pt>
                <c:pt idx="8">
                  <c:v>0.83032214220462697</c:v>
                </c:pt>
                <c:pt idx="9">
                  <c:v>0.81443434361313338</c:v>
                </c:pt>
                <c:pt idx="10">
                  <c:v>0.79889963147679932</c:v>
                </c:pt>
                <c:pt idx="11">
                  <c:v>0.78370787202022218</c:v>
                </c:pt>
                <c:pt idx="12">
                  <c:v>0.76884911855864746</c:v>
                </c:pt>
                <c:pt idx="13">
                  <c:v>0.75431364308618076</c:v>
                </c:pt>
                <c:pt idx="14">
                  <c:v>0.74009195834818087</c:v>
                </c:pt>
                <c:pt idx="15">
                  <c:v>0.72617483259836402</c:v>
                </c:pt>
                <c:pt idx="16">
                  <c:v>0.71255329872717832</c:v>
                </c:pt>
                <c:pt idx="17">
                  <c:v>0.69921865906127534</c:v>
                </c:pt>
                <c:pt idx="18">
                  <c:v>0.68616248684077497</c:v>
                </c:pt>
                <c:pt idx="19">
                  <c:v>0.67337662515727703</c:v>
                </c:pt>
                <c:pt idx="20">
                  <c:v>0.66085318396371862</c:v>
                </c:pt>
                <c:pt idx="21">
                  <c:v>0.64858453563442364</c:v>
                </c:pt>
                <c:pt idx="22">
                  <c:v>0.63656330945057804</c:v>
                </c:pt>
                <c:pt idx="23">
                  <c:v>0.62478238530589647</c:v>
                </c:pt>
                <c:pt idx="24">
                  <c:v>0.61323488686418293</c:v>
                </c:pt>
                <c:pt idx="25">
                  <c:v>0.60191417435085548</c:v>
                </c:pt>
              </c:numCache>
            </c:numRef>
          </c:yVal>
          <c:smooth val="1"/>
          <c:extLst>
            <c:ext xmlns:c16="http://schemas.microsoft.com/office/drawing/2014/chart" uri="{C3380CC4-5D6E-409C-BE32-E72D297353CC}">
              <c16:uniqueId val="{00000000-3745-47A8-B665-0B98382C35BA}"/>
            </c:ext>
          </c:extLst>
        </c:ser>
        <c:ser>
          <c:idx val="0"/>
          <c:order val="4"/>
          <c:spPr>
            <a:ln w="28575">
              <a:solidFill>
                <a:srgbClr val="C00000"/>
              </a:solidFill>
              <a:prstDash val="sysDash"/>
            </a:ln>
          </c:spPr>
          <c:marker>
            <c:symbol val="none"/>
          </c:marker>
          <c:xVal>
            <c:numRef>
              <c:f>PriceSens!$A$41:$A$66</c:f>
              <c:numCache>
                <c:formatCode>General</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PriceSens!$F$41:$F$66</c:f>
              <c:numCache>
                <c:formatCode>0.000</c:formatCode>
                <c:ptCount val="26"/>
                <c:pt idx="0">
                  <c:v>0.98458422854179017</c:v>
                </c:pt>
                <c:pt idx="1">
                  <c:v>0.96990955792460221</c:v>
                </c:pt>
                <c:pt idx="2">
                  <c:v>0.95549283492186443</c:v>
                </c:pt>
                <c:pt idx="3">
                  <c:v>0.94132994750923316</c:v>
                </c:pt>
                <c:pt idx="4">
                  <c:v>0.92741647748080513</c:v>
                </c:pt>
                <c:pt idx="5">
                  <c:v>0.91374779020361119</c:v>
                </c:pt>
                <c:pt idx="6">
                  <c:v>0.90031910522368452</c:v>
                </c:pt>
                <c:pt idx="7">
                  <c:v>0.88712555194969001</c:v>
                </c:pt>
                <c:pt idx="8">
                  <c:v>0.87416221363038127</c:v>
                </c:pt>
                <c:pt idx="9">
                  <c:v>0.86142416209418649</c:v>
                </c:pt>
                <c:pt idx="10">
                  <c:v>0.84890648515985645</c:v>
                </c:pt>
                <c:pt idx="11">
                  <c:v>0.83660430820507681</c:v>
                </c:pt>
                <c:pt idx="12">
                  <c:v>0.82451281105891472</c:v>
                </c:pt>
                <c:pt idx="13">
                  <c:v>0.81262724113784091</c:v>
                </c:pt>
                <c:pt idx="14">
                  <c:v>0.80094292355503194</c:v>
                </c:pt>
                <c:pt idx="15">
                  <c:v>0.7894552687849008</c:v>
                </c:pt>
                <c:pt idx="16">
                  <c:v>0.77815977834921746</c:v>
                </c:pt>
                <c:pt idx="17">
                  <c:v>0.76705204890020251</c:v>
                </c:pt>
                <c:pt idx="18">
                  <c:v>0.75612777500396544</c:v>
                </c:pt>
                <c:pt idx="19">
                  <c:v>0.74538275087037809</c:v>
                </c:pt>
                <c:pt idx="20">
                  <c:v>0.73481287122966366</c:v>
                </c:pt>
                <c:pt idx="21">
                  <c:v>0.72441413151918976</c:v>
                </c:pt>
                <c:pt idx="22">
                  <c:v>0.71418262751427386</c:v>
                </c:pt>
                <c:pt idx="23">
                  <c:v>0.70411455451276983</c:v>
                </c:pt>
                <c:pt idx="24">
                  <c:v>0.69420620616365225</c:v>
                </c:pt>
                <c:pt idx="25">
                  <c:v>0.68445397301387179</c:v>
                </c:pt>
              </c:numCache>
            </c:numRef>
          </c:yVal>
          <c:smooth val="1"/>
          <c:extLst>
            <c:ext xmlns:c16="http://schemas.microsoft.com/office/drawing/2014/chart" uri="{C3380CC4-5D6E-409C-BE32-E72D297353CC}">
              <c16:uniqueId val="{00000001-3745-47A8-B665-0B98382C35BA}"/>
            </c:ext>
          </c:extLst>
        </c:ser>
        <c:ser>
          <c:idx val="3"/>
          <c:order val="5"/>
          <c:spPr>
            <a:ln>
              <a:solidFill>
                <a:schemeClr val="tx1"/>
              </a:solidFill>
              <a:prstDash val="sysDash"/>
            </a:ln>
          </c:spPr>
          <c:marker>
            <c:symbol val="none"/>
          </c:marker>
          <c:xVal>
            <c:numRef>
              <c:f>PriceSens!$A$41:$A$66</c:f>
              <c:numCache>
                <c:formatCode>General</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PriceSens!$B$41:$B$66</c:f>
              <c:numCache>
                <c:formatCode>0.000</c:formatCode>
                <c:ptCount val="26"/>
                <c:pt idx="0">
                  <c:v>0.94599230156101421</c:v>
                </c:pt>
                <c:pt idx="1">
                  <c:v>0.91870178960009807</c:v>
                </c:pt>
                <c:pt idx="2">
                  <c:v>0.89228134919704172</c:v>
                </c:pt>
                <c:pt idx="3">
                  <c:v>0.86671224391269808</c:v>
                </c:pt>
                <c:pt idx="4">
                  <c:v>0.84197057879405734</c:v>
                </c:pt>
                <c:pt idx="5">
                  <c:v>0.81802943366889869</c:v>
                </c:pt>
                <c:pt idx="6">
                  <c:v>0.79486028508911477</c:v>
                </c:pt>
                <c:pt idx="7">
                  <c:v>0.77243396003316322</c:v>
                </c:pt>
                <c:pt idx="8">
                  <c:v>0.75072127607878458</c:v>
                </c:pt>
                <c:pt idx="9">
                  <c:v>0.72969346865985152</c:v>
                </c:pt>
                <c:pt idx="10">
                  <c:v>0.70932247209143429</c:v>
                </c:pt>
                <c:pt idx="11">
                  <c:v>0.68958109929625544</c:v>
                </c:pt>
                <c:pt idx="12">
                  <c:v>0.67044315094792561</c:v>
                </c:pt>
                <c:pt idx="13">
                  <c:v>0.65188347528963575</c:v>
                </c:pt>
                <c:pt idx="14">
                  <c:v>0.63387799349844531</c:v>
                </c:pt>
                <c:pt idx="15">
                  <c:v>0.61640370108914333</c:v>
                </c:pt>
                <c:pt idx="16">
                  <c:v>0.59943865281660402</c:v>
                </c:pt>
                <c:pt idx="17">
                  <c:v>0.58296193640731175</c:v>
                </c:pt>
                <c:pt idx="18">
                  <c:v>0.56695363894377215</c:v>
                </c:pt>
                <c:pt idx="19">
                  <c:v>0.55139480864937118</c:v>
                </c:pt>
                <c:pt idx="20">
                  <c:v>0.53626741404703815</c:v>
                </c:pt>
                <c:pt idx="21">
                  <c:v>0.52155430190465624</c:v>
                </c:pt>
                <c:pt idx="22">
                  <c:v>0.50723915497240546</c:v>
                </c:pt>
                <c:pt idx="23">
                  <c:v>0.49330645021940728</c:v>
                </c:pt>
                <c:pt idx="24">
                  <c:v>0.47974141805893139</c:v>
                </c:pt>
                <c:pt idx="25">
                  <c:v>0.46951961199422149</c:v>
                </c:pt>
              </c:numCache>
            </c:numRef>
          </c:yVal>
          <c:smooth val="1"/>
          <c:extLst>
            <c:ext xmlns:c16="http://schemas.microsoft.com/office/drawing/2014/chart" uri="{C3380CC4-5D6E-409C-BE32-E72D297353CC}">
              <c16:uniqueId val="{00000002-3745-47A8-B665-0B98382C35BA}"/>
            </c:ext>
          </c:extLst>
        </c:ser>
        <c:dLbls>
          <c:showLegendKey val="0"/>
          <c:showVal val="0"/>
          <c:showCatName val="0"/>
          <c:showSerName val="0"/>
          <c:showPercent val="0"/>
          <c:showBubbleSize val="0"/>
        </c:dLbls>
        <c:axId val="124970112"/>
        <c:axId val="124972032"/>
      </c:scatterChart>
      <c:scatterChart>
        <c:scatterStyle val="smoothMarker"/>
        <c:varyColors val="0"/>
        <c:ser>
          <c:idx val="1"/>
          <c:order val="0"/>
          <c:tx>
            <c:strRef>
              <c:f>PriceSens!$F$39</c:f>
              <c:strCache>
                <c:ptCount val="1"/>
                <c:pt idx="0">
                  <c:v>Py = $0.25</c:v>
                </c:pt>
              </c:strCache>
            </c:strRef>
          </c:tx>
          <c:marker>
            <c:symbol val="none"/>
          </c:marker>
          <c:xVal>
            <c:numRef>
              <c:f>PriceSens!$A$41:$A$66</c:f>
              <c:numCache>
                <c:formatCode>General</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PriceSens!$G$41:$G$66</c:f>
              <c:numCache>
                <c:formatCode>0</c:formatCode>
                <c:ptCount val="26"/>
                <c:pt idx="0">
                  <c:v>977.33866969877022</c:v>
                </c:pt>
                <c:pt idx="1">
                  <c:v>990.52644735192393</c:v>
                </c:pt>
                <c:pt idx="2">
                  <c:v>1006.1005884290578</c:v>
                </c:pt>
                <c:pt idx="3">
                  <c:v>1024.0729258499287</c:v>
                </c:pt>
                <c:pt idx="4">
                  <c:v>1044.4446789857493</c:v>
                </c:pt>
                <c:pt idx="5">
                  <c:v>1067.2084296686771</c:v>
                </c:pt>
                <c:pt idx="6">
                  <c:v>1092.3497473567156</c:v>
                </c:pt>
                <c:pt idx="7">
                  <c:v>1119.8485286497689</c:v>
                </c:pt>
                <c:pt idx="8">
                  <c:v>1149.6801036679738</c:v>
                </c:pt>
                <c:pt idx="9">
                  <c:v>1181.8161516365788</c:v>
                </c:pt>
                <c:pt idx="10">
                  <c:v>1216.2254598890772</c:v>
                </c:pt>
                <c:pt idx="11">
                  <c:v>1252.8745539969339</c:v>
                </c:pt>
                <c:pt idx="12">
                  <c:v>1291.7282215285379</c:v>
                </c:pt>
                <c:pt idx="13">
                  <c:v>1332.7499477664162</c:v>
                </c:pt>
                <c:pt idx="14">
                  <c:v>1375.9022783575442</c:v>
                </c:pt>
                <c:pt idx="15">
                  <c:v>1421.1471211692105</c:v>
                </c:pt>
                <c:pt idx="16">
                  <c:v>1468.4459974391671</c:v>
                </c:pt>
                <c:pt idx="17">
                  <c:v>1517.760250538942</c:v>
                </c:pt>
                <c:pt idx="18">
                  <c:v>1569.0512192303522</c:v>
                </c:pt>
                <c:pt idx="19">
                  <c:v>1622.2803811217323</c:v>
                </c:pt>
                <c:pt idx="20">
                  <c:v>1677.40947107029</c:v>
                </c:pt>
                <c:pt idx="21">
                  <c:v>1734.4005784892063</c:v>
                </c:pt>
                <c:pt idx="22">
                  <c:v>1793.2162268694517</c:v>
                </c:pt>
                <c:pt idx="23">
                  <c:v>1853.8194382908209</c:v>
                </c:pt>
                <c:pt idx="24">
                  <c:v>1916.1737852532426</c:v>
                </c:pt>
                <c:pt idx="25">
                  <c:v>1980.2434317912603</c:v>
                </c:pt>
              </c:numCache>
            </c:numRef>
          </c:yVal>
          <c:smooth val="1"/>
          <c:extLst>
            <c:ext xmlns:c16="http://schemas.microsoft.com/office/drawing/2014/chart" uri="{C3380CC4-5D6E-409C-BE32-E72D297353CC}">
              <c16:uniqueId val="{00000003-3745-47A8-B665-0B98382C35BA}"/>
            </c:ext>
          </c:extLst>
        </c:ser>
        <c:ser>
          <c:idx val="4"/>
          <c:order val="1"/>
          <c:tx>
            <c:strRef>
              <c:f>PriceSens!$D$39</c:f>
              <c:strCache>
                <c:ptCount val="1"/>
                <c:pt idx="0">
                  <c:v>Py = $0.20</c:v>
                </c:pt>
              </c:strCache>
            </c:strRef>
          </c:tx>
          <c:marker>
            <c:symbol val="none"/>
          </c:marker>
          <c:xVal>
            <c:numRef>
              <c:f>PriceSens!$A$41:$A$66</c:f>
              <c:numCache>
                <c:formatCode>General</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PriceSens!$E$41:$E$66</c:f>
              <c:numCache>
                <c:formatCode>0</c:formatCode>
                <c:ptCount val="26"/>
                <c:pt idx="0">
                  <c:v>362.73166636506329</c:v>
                </c:pt>
                <c:pt idx="1">
                  <c:v>380.8197823817589</c:v>
                </c:pt>
                <c:pt idx="2">
                  <c:v>401.76906219334603</c:v>
                </c:pt>
                <c:pt idx="3">
                  <c:v>425.62200032699548</c:v>
                </c:pt>
                <c:pt idx="4">
                  <c:v>452.39587352293893</c:v>
                </c:pt>
                <c:pt idx="5">
                  <c:v>482.08831649412605</c:v>
                </c:pt>
                <c:pt idx="6">
                  <c:v>514.68171770362505</c:v>
                </c:pt>
                <c:pt idx="7">
                  <c:v>550.14669261837798</c:v>
                </c:pt>
                <c:pt idx="8">
                  <c:v>588.44483446764502</c:v>
                </c:pt>
                <c:pt idx="9">
                  <c:v>629.53089763741582</c:v>
                </c:pt>
                <c:pt idx="10">
                  <c:v>673.35453408430146</c:v>
                </c:pt>
                <c:pt idx="11">
                  <c:v>719.86167638180007</c:v>
                </c:pt>
                <c:pt idx="12">
                  <c:v>768.99564041184476</c:v>
                </c:pt>
                <c:pt idx="13">
                  <c:v>820.69800484884411</c:v>
                </c:pt>
                <c:pt idx="14">
                  <c:v>874.90931233692538</c:v>
                </c:pt>
                <c:pt idx="15">
                  <c:v>931.56962777912508</c:v>
                </c:pt>
                <c:pt idx="16">
                  <c:v>990.61898178947615</c:v>
                </c:pt>
                <c:pt idx="17">
                  <c:v>1051.9977216115035</c:v>
                </c:pt>
                <c:pt idx="18">
                  <c:v>1115.6467873048282</c:v>
                </c:pt>
                <c:pt idx="19">
                  <c:v>1181.5079274610328</c:v>
                </c:pt>
                <c:pt idx="20">
                  <c:v>1249.5238659136287</c:v>
                </c:pt>
                <c:pt idx="21">
                  <c:v>1319.6384286897082</c:v>
                </c:pt>
                <c:pt idx="22">
                  <c:v>1391.7966386855444</c:v>
                </c:pt>
                <c:pt idx="23">
                  <c:v>1465.9447841375893</c:v>
                </c:pt>
                <c:pt idx="24">
                  <c:v>1542.0304658286291</c:v>
                </c:pt>
                <c:pt idx="25">
                  <c:v>1620.0026270577528</c:v>
                </c:pt>
              </c:numCache>
            </c:numRef>
          </c:yVal>
          <c:smooth val="1"/>
          <c:extLst>
            <c:ext xmlns:c16="http://schemas.microsoft.com/office/drawing/2014/chart" uri="{C3380CC4-5D6E-409C-BE32-E72D297353CC}">
              <c16:uniqueId val="{00000004-3745-47A8-B665-0B98382C35BA}"/>
            </c:ext>
          </c:extLst>
        </c:ser>
        <c:ser>
          <c:idx val="2"/>
          <c:order val="2"/>
          <c:tx>
            <c:strRef>
              <c:f>PriceSens!$B$39</c:f>
              <c:strCache>
                <c:ptCount val="1"/>
                <c:pt idx="0">
                  <c:v>Py = $0.15</c:v>
                </c:pt>
              </c:strCache>
            </c:strRef>
          </c:tx>
          <c:spPr>
            <a:ln>
              <a:solidFill>
                <a:schemeClr val="tx1"/>
              </a:solidFill>
            </a:ln>
          </c:spPr>
          <c:marker>
            <c:symbol val="none"/>
          </c:marker>
          <c:xVal>
            <c:numRef>
              <c:f>PriceSens!$A$41:$A$66</c:f>
              <c:numCache>
                <c:formatCode>General</c:formatCode>
                <c:ptCount val="26"/>
                <c:pt idx="0">
                  <c:v>0</c:v>
                </c:pt>
                <c:pt idx="1">
                  <c:v>0.02</c:v>
                </c:pt>
                <c:pt idx="2">
                  <c:v>0.04</c:v>
                </c:pt>
                <c:pt idx="3">
                  <c:v>6.0000000000000012E-2</c:v>
                </c:pt>
                <c:pt idx="4">
                  <c:v>0.08</c:v>
                </c:pt>
                <c:pt idx="5">
                  <c:v>0.1</c:v>
                </c:pt>
                <c:pt idx="6">
                  <c:v>0.12</c:v>
                </c:pt>
                <c:pt idx="7">
                  <c:v>0.13999999999999999</c:v>
                </c:pt>
                <c:pt idx="8">
                  <c:v>0.15999999999999998</c:v>
                </c:pt>
                <c:pt idx="9">
                  <c:v>0.18</c:v>
                </c:pt>
                <c:pt idx="10">
                  <c:v>0.19999999999999998</c:v>
                </c:pt>
                <c:pt idx="11">
                  <c:v>0.21999999999999997</c:v>
                </c:pt>
                <c:pt idx="12">
                  <c:v>0.24</c:v>
                </c:pt>
                <c:pt idx="13">
                  <c:v>0.26</c:v>
                </c:pt>
                <c:pt idx="14">
                  <c:v>0.28000000000000003</c:v>
                </c:pt>
                <c:pt idx="15">
                  <c:v>0.30000000000000004</c:v>
                </c:pt>
                <c:pt idx="16">
                  <c:v>0.32000000000000006</c:v>
                </c:pt>
                <c:pt idx="17">
                  <c:v>0.34000000000000008</c:v>
                </c:pt>
                <c:pt idx="18">
                  <c:v>0.3600000000000001</c:v>
                </c:pt>
                <c:pt idx="19">
                  <c:v>0.38000000000000012</c:v>
                </c:pt>
                <c:pt idx="20">
                  <c:v>0.40000000000000008</c:v>
                </c:pt>
                <c:pt idx="21">
                  <c:v>0.4200000000000001</c:v>
                </c:pt>
                <c:pt idx="22">
                  <c:v>0.44000000000000011</c:v>
                </c:pt>
                <c:pt idx="23">
                  <c:v>0.46000000000000013</c:v>
                </c:pt>
                <c:pt idx="24">
                  <c:v>0.48000000000000015</c:v>
                </c:pt>
                <c:pt idx="25">
                  <c:v>0.50000000000000022</c:v>
                </c:pt>
              </c:numCache>
            </c:numRef>
          </c:xVal>
          <c:yVal>
            <c:numRef>
              <c:f>PriceSens!$C$41:$C$66</c:f>
              <c:numCache>
                <c:formatCode>0</c:formatCode>
                <c:ptCount val="26"/>
                <c:pt idx="0">
                  <c:v>-242.83808238169462</c:v>
                </c:pt>
                <c:pt idx="1">
                  <c:v>-216.51550785180075</c:v>
                </c:pt>
                <c:pt idx="2">
                  <c:v>-186.55995791316255</c:v>
                </c:pt>
                <c:pt idx="3">
                  <c:v>-152.84035132178644</c:v>
                </c:pt>
                <c:pt idx="4">
                  <c:v>-115.30018861685505</c:v>
                </c:pt>
                <c:pt idx="5">
                  <c:v>-73.936687936515312</c:v>
                </c:pt>
                <c:pt idx="6">
                  <c:v>-28.785460182293008</c:v>
                </c:pt>
                <c:pt idx="7">
                  <c:v>20.090755505017711</c:v>
                </c:pt>
                <c:pt idx="8">
                  <c:v>72.610386319847464</c:v>
                </c:pt>
                <c:pt idx="9">
                  <c:v>128.6791445190031</c:v>
                </c:pt>
                <c:pt idx="10">
                  <c:v>188.19454656149469</c:v>
                </c:pt>
                <c:pt idx="11">
                  <c:v>251.04925123850063</c:v>
                </c:pt>
                <c:pt idx="12">
                  <c:v>317.19153225527538</c:v>
                </c:pt>
                <c:pt idx="13">
                  <c:v>386.33703606262782</c:v>
                </c:pt>
                <c:pt idx="14">
                  <c:v>458.5502073169024</c:v>
                </c:pt>
                <c:pt idx="15">
                  <c:v>533.66514063199554</c:v>
                </c:pt>
                <c:pt idx="16">
                  <c:v>611.57631242828802</c:v>
                </c:pt>
                <c:pt idx="17">
                  <c:v>692.18104286403423</c:v>
                </c:pt>
                <c:pt idx="18">
                  <c:v>775.37981151918893</c:v>
                </c:pt>
                <c:pt idx="19">
                  <c:v>861.0764550230956</c:v>
                </c:pt>
                <c:pt idx="20">
                  <c:v>949.17827588300918</c:v>
                </c:pt>
                <c:pt idx="21">
                  <c:v>1039.5960847855824</c:v>
                </c:pt>
                <c:pt idx="22">
                  <c:v>1132.2441933751988</c:v>
                </c:pt>
                <c:pt idx="23">
                  <c:v>1227.040370519994</c:v>
                </c:pt>
                <c:pt idx="24">
                  <c:v>1323.9057720360508</c:v>
                </c:pt>
                <c:pt idx="25">
                  <c:v>1422.8536959375579</c:v>
                </c:pt>
              </c:numCache>
            </c:numRef>
          </c:yVal>
          <c:smooth val="1"/>
          <c:extLst>
            <c:ext xmlns:c16="http://schemas.microsoft.com/office/drawing/2014/chart" uri="{C3380CC4-5D6E-409C-BE32-E72D297353CC}">
              <c16:uniqueId val="{00000005-3745-47A8-B665-0B98382C35BA}"/>
            </c:ext>
          </c:extLst>
        </c:ser>
        <c:dLbls>
          <c:showLegendKey val="0"/>
          <c:showVal val="0"/>
          <c:showCatName val="0"/>
          <c:showSerName val="0"/>
          <c:showPercent val="0"/>
          <c:showBubbleSize val="0"/>
        </c:dLbls>
        <c:axId val="126618624"/>
        <c:axId val="126616704"/>
      </c:scatterChart>
      <c:valAx>
        <c:axId val="124970112"/>
        <c:scaling>
          <c:orientation val="minMax"/>
          <c:max val="0.4"/>
        </c:scaling>
        <c:delete val="0"/>
        <c:axPos val="b"/>
        <c:title>
          <c:tx>
            <c:rich>
              <a:bodyPr/>
              <a:lstStyle/>
              <a:p>
                <a:pPr>
                  <a:defRPr sz="1400"/>
                </a:pPr>
                <a:r>
                  <a:rPr lang="en-US" sz="1400"/>
                  <a:t>Lease Price of Water, </a:t>
                </a:r>
                <a:r>
                  <a:rPr lang="en-US" sz="1400" i="1"/>
                  <a:t>Pw</a:t>
                </a:r>
                <a:r>
                  <a:rPr lang="en-US" sz="1400"/>
                  <a:t> ($/m</a:t>
                </a:r>
                <a:r>
                  <a:rPr lang="en-US" sz="1400" baseline="30000"/>
                  <a:t>3</a:t>
                </a:r>
                <a:r>
                  <a:rPr lang="en-US" sz="1400"/>
                  <a:t>)</a:t>
                </a:r>
              </a:p>
            </c:rich>
          </c:tx>
          <c:layout>
            <c:manualLayout>
              <c:xMode val="edge"/>
              <c:yMode val="edge"/>
              <c:x val="0.37304737007278427"/>
              <c:y val="0.93119314759875982"/>
            </c:manualLayout>
          </c:layout>
          <c:overlay val="0"/>
        </c:title>
        <c:numFmt formatCode="General" sourceLinked="1"/>
        <c:majorTickMark val="out"/>
        <c:minorTickMark val="out"/>
        <c:tickLblPos val="nextTo"/>
        <c:txPr>
          <a:bodyPr/>
          <a:lstStyle/>
          <a:p>
            <a:pPr>
              <a:defRPr sz="1200" b="1"/>
            </a:pPr>
            <a:endParaRPr lang="en-US"/>
          </a:p>
        </c:txPr>
        <c:crossAx val="124972032"/>
        <c:crosses val="autoZero"/>
        <c:crossBetween val="midCat"/>
      </c:valAx>
      <c:valAx>
        <c:axId val="124972032"/>
        <c:scaling>
          <c:orientation val="minMax"/>
          <c:max val="1"/>
        </c:scaling>
        <c:delete val="0"/>
        <c:axPos val="l"/>
        <c:majorGridlines/>
        <c:title>
          <c:tx>
            <c:rich>
              <a:bodyPr rot="-5400000" vert="horz"/>
              <a:lstStyle/>
              <a:p>
                <a:pPr>
                  <a:defRPr sz="1400"/>
                </a:pPr>
                <a:r>
                  <a:rPr lang="en-US" sz="1400" b="1" i="0" baseline="0">
                    <a:effectLst/>
                  </a:rPr>
                  <a:t>Optimum Relative ET, </a:t>
                </a:r>
                <a:r>
                  <a:rPr lang="en-US" sz="1400" b="1" i="1" baseline="0">
                    <a:effectLst/>
                  </a:rPr>
                  <a:t>x</a:t>
                </a:r>
                <a:r>
                  <a:rPr lang="en-US" sz="1400" b="1" i="1" baseline="-25000">
                    <a:effectLst/>
                  </a:rPr>
                  <a:t>op</a:t>
                </a:r>
                <a:endParaRPr lang="en-US" sz="1400" i="1">
                  <a:effectLst/>
                </a:endParaRPr>
              </a:p>
            </c:rich>
          </c:tx>
          <c:layout>
            <c:manualLayout>
              <c:xMode val="edge"/>
              <c:yMode val="edge"/>
              <c:x val="2.1551895385057543E-2"/>
              <c:y val="0.17307719700866536"/>
            </c:manualLayout>
          </c:layout>
          <c:overlay val="0"/>
        </c:title>
        <c:numFmt formatCode="0.0" sourceLinked="0"/>
        <c:majorTickMark val="out"/>
        <c:minorTickMark val="none"/>
        <c:tickLblPos val="nextTo"/>
        <c:txPr>
          <a:bodyPr/>
          <a:lstStyle/>
          <a:p>
            <a:pPr>
              <a:defRPr sz="1200" b="1"/>
            </a:pPr>
            <a:endParaRPr lang="en-US"/>
          </a:p>
        </c:txPr>
        <c:crossAx val="124970112"/>
        <c:crosses val="autoZero"/>
        <c:crossBetween val="midCat"/>
      </c:valAx>
      <c:valAx>
        <c:axId val="126616704"/>
        <c:scaling>
          <c:orientation val="minMax"/>
          <c:max val="2000"/>
          <c:min val="0"/>
        </c:scaling>
        <c:delete val="0"/>
        <c:axPos val="r"/>
        <c:title>
          <c:tx>
            <c:rich>
              <a:bodyPr rot="-5400000" vert="horz"/>
              <a:lstStyle/>
              <a:p>
                <a:pPr>
                  <a:defRPr/>
                </a:pPr>
                <a:r>
                  <a:rPr lang="en-US" sz="1400" b="1" i="0" baseline="0">
                    <a:effectLst/>
                  </a:rPr>
                  <a:t>Maximum Net Income, $/Ha</a:t>
                </a:r>
                <a:endParaRPr lang="en-US" sz="1400">
                  <a:effectLst/>
                </a:endParaRPr>
              </a:p>
            </c:rich>
          </c:tx>
          <c:overlay val="0"/>
        </c:title>
        <c:numFmt formatCode="0" sourceLinked="1"/>
        <c:majorTickMark val="out"/>
        <c:minorTickMark val="none"/>
        <c:tickLblPos val="nextTo"/>
        <c:txPr>
          <a:bodyPr/>
          <a:lstStyle/>
          <a:p>
            <a:pPr>
              <a:defRPr sz="1200" b="1"/>
            </a:pPr>
            <a:endParaRPr lang="en-US"/>
          </a:p>
        </c:txPr>
        <c:crossAx val="126618624"/>
        <c:crosses val="max"/>
        <c:crossBetween val="midCat"/>
      </c:valAx>
      <c:valAx>
        <c:axId val="126618624"/>
        <c:scaling>
          <c:orientation val="minMax"/>
        </c:scaling>
        <c:delete val="1"/>
        <c:axPos val="b"/>
        <c:numFmt formatCode="General" sourceLinked="1"/>
        <c:majorTickMark val="out"/>
        <c:minorTickMark val="none"/>
        <c:tickLblPos val="nextTo"/>
        <c:crossAx val="126616704"/>
        <c:crosses val="autoZero"/>
        <c:crossBetween val="midCat"/>
      </c:valAx>
      <c:spPr>
        <a:ln>
          <a:solidFill>
            <a:schemeClr val="tx1"/>
          </a:solidFill>
        </a:ln>
      </c:spPr>
    </c:plotArea>
    <c:legend>
      <c:legendPos val="r"/>
      <c:legendEntry>
        <c:idx val="0"/>
        <c:delete val="1"/>
      </c:legendEntry>
      <c:legendEntry>
        <c:idx val="1"/>
        <c:delete val="1"/>
      </c:legendEntry>
      <c:legendEntry>
        <c:idx val="2"/>
        <c:delete val="1"/>
      </c:legendEntry>
      <c:layout>
        <c:manualLayout>
          <c:xMode val="edge"/>
          <c:yMode val="edge"/>
          <c:x val="0.66479110401054942"/>
          <c:y val="0.64712591830543797"/>
          <c:w val="0.18839250434336713"/>
          <c:h val="0.20105250662762628"/>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t>
            </a:r>
          </a:p>
        </c:rich>
      </c:tx>
      <c:layout>
        <c:manualLayout>
          <c:xMode val="edge"/>
          <c:yMode val="edge"/>
          <c:x val="0.83714177032218795"/>
          <c:y val="0.125"/>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'WPF Model'!$B$8</c:f>
              <c:strCache>
                <c:ptCount val="1"/>
                <c:pt idx="0">
                  <c:v>-2.91</c:v>
                </c:pt>
              </c:strCache>
            </c:strRef>
          </c:tx>
          <c:marker>
            <c:symbol val="none"/>
          </c:marker>
          <c:xVal>
            <c:numRef>
              <c:f>'WPF Model'!$A$13:$A$22</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Model'!$D$13:$D$22</c:f>
              <c:numCache>
                <c:formatCode>0.00</c:formatCode>
                <c:ptCount val="10"/>
                <c:pt idx="0">
                  <c:v>5.3941142857142861</c:v>
                </c:pt>
                <c:pt idx="1">
                  <c:v>4.8121142857142853</c:v>
                </c:pt>
                <c:pt idx="2">
                  <c:v>4.2301142857142864</c:v>
                </c:pt>
                <c:pt idx="3">
                  <c:v>3.6481142857142856</c:v>
                </c:pt>
                <c:pt idx="4">
                  <c:v>3.0661142857142858</c:v>
                </c:pt>
                <c:pt idx="5">
                  <c:v>2.4841142857142859</c:v>
                </c:pt>
                <c:pt idx="6">
                  <c:v>1.9021142857142861</c:v>
                </c:pt>
                <c:pt idx="7">
                  <c:v>1.3201142857142854</c:v>
                </c:pt>
                <c:pt idx="8">
                  <c:v>0.7381142857142855</c:v>
                </c:pt>
                <c:pt idx="9">
                  <c:v>0.15611428571428565</c:v>
                </c:pt>
              </c:numCache>
            </c:numRef>
          </c:yVal>
          <c:smooth val="1"/>
          <c:extLst>
            <c:ext xmlns:c16="http://schemas.microsoft.com/office/drawing/2014/chart" uri="{C3380CC4-5D6E-409C-BE32-E72D297353CC}">
              <c16:uniqueId val="{00000000-FEC7-4AA5-BA38-CE82CB54F8CC}"/>
            </c:ext>
          </c:extLst>
        </c:ser>
        <c:dLbls>
          <c:showLegendKey val="0"/>
          <c:showVal val="0"/>
          <c:showCatName val="0"/>
          <c:showSerName val="0"/>
          <c:showPercent val="0"/>
          <c:showBubbleSize val="0"/>
        </c:dLbls>
        <c:axId val="60524800"/>
        <c:axId val="60526976"/>
      </c:scatterChart>
      <c:valAx>
        <c:axId val="60524800"/>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cross"/>
        <c:minorTickMark val="cross"/>
        <c:tickLblPos val="nextTo"/>
        <c:txPr>
          <a:bodyPr/>
          <a:lstStyle/>
          <a:p>
            <a:pPr>
              <a:defRPr sz="1050"/>
            </a:pPr>
            <a:endParaRPr lang="en-US"/>
          </a:p>
        </c:txPr>
        <c:crossAx val="60526976"/>
        <c:crosses val="autoZero"/>
        <c:crossBetween val="midCat"/>
        <c:minorUnit val="0.1"/>
      </c:valAx>
      <c:valAx>
        <c:axId val="60526976"/>
        <c:scaling>
          <c:orientation val="minMax"/>
          <c:min val="0"/>
        </c:scaling>
        <c:delete val="0"/>
        <c:axPos val="l"/>
        <c:majorGridlines>
          <c:spPr>
            <a:ln>
              <a:noFill/>
            </a:ln>
          </c:spPr>
        </c:majorGridlines>
        <c:title>
          <c:tx>
            <c:rich>
              <a:bodyPr rot="-5400000" vert="horz"/>
              <a:lstStyle/>
              <a:p>
                <a:pPr>
                  <a:defRPr sz="1100"/>
                </a:pPr>
                <a:r>
                  <a:rPr lang="en-US" sz="1100"/>
                  <a:t>Marginal Relative Yield, M</a:t>
                </a:r>
                <a:r>
                  <a:rPr lang="en-US" sz="1100" i="1"/>
                  <a:t>Y</a:t>
                </a:r>
              </a:p>
            </c:rich>
          </c:tx>
          <c:overlay val="0"/>
        </c:title>
        <c:numFmt formatCode="0.0" sourceLinked="0"/>
        <c:majorTickMark val="cross"/>
        <c:minorTickMark val="cross"/>
        <c:tickLblPos val="nextTo"/>
        <c:txPr>
          <a:bodyPr/>
          <a:lstStyle/>
          <a:p>
            <a:pPr>
              <a:defRPr sz="1050"/>
            </a:pPr>
            <a:endParaRPr lang="en-US"/>
          </a:p>
        </c:txPr>
        <c:crossAx val="60524800"/>
        <c:crosses val="autoZero"/>
        <c:crossBetween val="midCat"/>
        <c:majorUnit val="1"/>
        <c:minorUnit val="0.5"/>
      </c:valAx>
      <c:spPr>
        <a:ln>
          <a:solidFill>
            <a:schemeClr val="tx1"/>
          </a:solidFill>
        </a:ln>
      </c:spPr>
    </c:plotArea>
    <c:legend>
      <c:legendPos val="r"/>
      <c:layout>
        <c:manualLayout>
          <c:xMode val="edge"/>
          <c:yMode val="edge"/>
          <c:x val="0.74837359098228662"/>
          <c:y val="0.35628937007874018"/>
          <c:w val="0.17302750199703298"/>
          <c:h val="8.3717191601049873E-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(b)</a:t>
            </a:r>
          </a:p>
        </c:rich>
      </c:tx>
      <c:layout>
        <c:manualLayout>
          <c:xMode val="edge"/>
          <c:yMode val="edge"/>
          <c:x val="0.17060392813217187"/>
          <c:y val="9.2592592592592587E-2"/>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'WPF Model'!$B$8</c:f>
              <c:strCache>
                <c:ptCount val="1"/>
                <c:pt idx="0">
                  <c:v>-2.91</c:v>
                </c:pt>
              </c:strCache>
            </c:strRef>
          </c:tx>
          <c:marker>
            <c:symbol val="none"/>
          </c:marker>
          <c:xVal>
            <c:numRef>
              <c:f>'WPF Model'!$A$13:$A$22</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Model'!$C$13:$C$22</c:f>
              <c:numCache>
                <c:formatCode>0.00</c:formatCode>
                <c:ptCount val="10"/>
                <c:pt idx="0">
                  <c:v>-14.976028571428564</c:v>
                </c:pt>
                <c:pt idx="1">
                  <c:v>-4.9364571428571411</c:v>
                </c:pt>
                <c:pt idx="2">
                  <c:v>-1.7839333333333318</c:v>
                </c:pt>
                <c:pt idx="3">
                  <c:v>-0.3531714285714278</c:v>
                </c:pt>
                <c:pt idx="4">
                  <c:v>0.38888571428571517</c:v>
                </c:pt>
                <c:pt idx="5">
                  <c:v>0.78659047619047739</c:v>
                </c:pt>
                <c:pt idx="6">
                  <c:v>0.98752244897959229</c:v>
                </c:pt>
                <c:pt idx="7">
                  <c:v>1.0654714285714286</c:v>
                </c:pt>
                <c:pt idx="8">
                  <c:v>1.0614317460317462</c:v>
                </c:pt>
                <c:pt idx="9">
                  <c:v>1.0000000000000004</c:v>
                </c:pt>
              </c:numCache>
            </c:numRef>
          </c:yVal>
          <c:smooth val="1"/>
          <c:extLst>
            <c:ext xmlns:c16="http://schemas.microsoft.com/office/drawing/2014/chart" uri="{C3380CC4-5D6E-409C-BE32-E72D297353CC}">
              <c16:uniqueId val="{00000000-04DC-4DE3-874E-32A3D034EEAC}"/>
            </c:ext>
          </c:extLst>
        </c:ser>
        <c:ser>
          <c:idx val="1"/>
          <c:order val="1"/>
          <c:tx>
            <c:v>WP=1</c:v>
          </c:tx>
          <c:spPr>
            <a:ln>
              <a:noFill/>
            </a:ln>
          </c:spPr>
          <c:marker>
            <c:symbol val="diamond"/>
            <c:size val="8"/>
            <c:spPr>
              <a:solidFill>
                <a:schemeClr val="tx1"/>
              </a:solidFill>
              <a:ln>
                <a:solidFill>
                  <a:schemeClr val="tx1"/>
                </a:solidFill>
              </a:ln>
            </c:spPr>
          </c:marker>
          <c:xVal>
            <c:numRef>
              <c:f>'WPF Model'!$B$30</c:f>
              <c:numCache>
                <c:formatCode>0.00</c:formatCode>
                <c:ptCount val="1"/>
                <c:pt idx="0">
                  <c:v>0.71000490918016634</c:v>
                </c:pt>
              </c:numCache>
            </c:numRef>
          </c:xVal>
          <c:yVal>
            <c:numRef>
              <c:f>'WPF Model'!$E$30</c:f>
              <c:numCache>
                <c:formatCode>0.00</c:formatCode>
                <c:ptCount val="1"/>
                <c:pt idx="0">
                  <c:v>0.99999999999999967</c:v>
                </c:pt>
              </c:numCache>
            </c:numRef>
          </c:yVal>
          <c:smooth val="1"/>
          <c:extLst>
            <c:ext xmlns:c16="http://schemas.microsoft.com/office/drawing/2014/chart" uri="{C3380CC4-5D6E-409C-BE32-E72D297353CC}">
              <c16:uniqueId val="{00000001-04DC-4DE3-874E-32A3D034EEAC}"/>
            </c:ext>
          </c:extLst>
        </c:ser>
        <c:ser>
          <c:idx val="2"/>
          <c:order val="2"/>
          <c:tx>
            <c:v>WPmax</c:v>
          </c:tx>
          <c:spPr>
            <a:ln>
              <a:noFill/>
            </a:ln>
          </c:spPr>
          <c:marker>
            <c:symbol val="circle"/>
            <c:size val="7"/>
            <c:spPr>
              <a:solidFill>
                <a:srgbClr val="FFC000"/>
              </a:solidFill>
              <a:ln>
                <a:solidFill>
                  <a:schemeClr val="tx1"/>
                </a:solidFill>
              </a:ln>
            </c:spPr>
          </c:marker>
          <c:xVal>
            <c:numRef>
              <c:f>'WPF Model'!$B$31</c:f>
              <c:numCache>
                <c:formatCode>0.00</c:formatCode>
                <c:ptCount val="1"/>
                <c:pt idx="0">
                  <c:v>0.84261789037508972</c:v>
                </c:pt>
              </c:numCache>
            </c:numRef>
          </c:xVal>
          <c:yVal>
            <c:numRef>
              <c:f>'WPF Model'!$E$31</c:f>
              <c:numCache>
                <c:formatCode>0.00</c:formatCode>
                <c:ptCount val="1"/>
                <c:pt idx="0">
                  <c:v>1.0720781637312635</c:v>
                </c:pt>
              </c:numCache>
            </c:numRef>
          </c:yVal>
          <c:smooth val="1"/>
          <c:extLst>
            <c:ext xmlns:c16="http://schemas.microsoft.com/office/drawing/2014/chart" uri="{C3380CC4-5D6E-409C-BE32-E72D297353CC}">
              <c16:uniqueId val="{00000002-04DC-4DE3-874E-32A3D034EEAC}"/>
            </c:ext>
          </c:extLst>
        </c:ser>
        <c:dLbls>
          <c:showLegendKey val="0"/>
          <c:showVal val="0"/>
          <c:showCatName val="0"/>
          <c:showSerName val="0"/>
          <c:showPercent val="0"/>
          <c:showBubbleSize val="0"/>
        </c:dLbls>
        <c:axId val="60561280"/>
        <c:axId val="60563840"/>
      </c:scatterChart>
      <c:valAx>
        <c:axId val="60561280"/>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cross"/>
        <c:minorTickMark val="cross"/>
        <c:tickLblPos val="nextTo"/>
        <c:txPr>
          <a:bodyPr/>
          <a:lstStyle/>
          <a:p>
            <a:pPr>
              <a:defRPr sz="1050"/>
            </a:pPr>
            <a:endParaRPr lang="en-US"/>
          </a:p>
        </c:txPr>
        <c:crossAx val="60563840"/>
        <c:crosses val="autoZero"/>
        <c:crossBetween val="midCat"/>
        <c:minorUnit val="0.1"/>
      </c:valAx>
      <c:valAx>
        <c:axId val="60563840"/>
        <c:scaling>
          <c:orientation val="minMax"/>
          <c:min val="0"/>
        </c:scaling>
        <c:delete val="0"/>
        <c:axPos val="l"/>
        <c:majorGridlines/>
        <c:title>
          <c:tx>
            <c:rich>
              <a:bodyPr rot="-5400000" vert="horz"/>
              <a:lstStyle/>
              <a:p>
                <a:pPr>
                  <a:defRPr sz="1100"/>
                </a:pPr>
                <a:r>
                  <a:rPr lang="en-US" sz="1100"/>
                  <a:t>Normalized Water Productivity, WP</a:t>
                </a:r>
              </a:p>
            </c:rich>
          </c:tx>
          <c:overlay val="0"/>
        </c:title>
        <c:numFmt formatCode="0.0" sourceLinked="0"/>
        <c:majorTickMark val="out"/>
        <c:minorTickMark val="none"/>
        <c:tickLblPos val="nextTo"/>
        <c:txPr>
          <a:bodyPr/>
          <a:lstStyle/>
          <a:p>
            <a:pPr>
              <a:defRPr sz="1050"/>
            </a:pPr>
            <a:endParaRPr lang="en-US"/>
          </a:p>
        </c:txPr>
        <c:crossAx val="60561280"/>
        <c:crosses val="autoZero"/>
        <c:crossBetween val="midCat"/>
        <c:majorUnit val="0.2"/>
        <c:minorUnit val="0.1"/>
      </c:valAx>
      <c:spPr>
        <a:ln>
          <a:solidFill>
            <a:schemeClr val="tx1"/>
          </a:solidFill>
        </a:ln>
      </c:spPr>
    </c:plotArea>
    <c:legend>
      <c:legendPos val="r"/>
      <c:layout>
        <c:manualLayout>
          <c:xMode val="edge"/>
          <c:yMode val="edge"/>
          <c:x val="0.71616747181964568"/>
          <c:y val="0.47665974044911052"/>
          <c:w val="0.19700508450936385"/>
          <c:h val="0.21411453776611256"/>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2"/>
          <c:order val="0"/>
          <c:tx>
            <c:strRef>
              <c:f>'WPF Model'!$S$23</c:f>
              <c:strCache>
                <c:ptCount val="1"/>
                <c:pt idx="0">
                  <c:v>C = -2</c:v>
                </c:pt>
              </c:strCache>
            </c:strRef>
          </c:tx>
          <c:marker>
            <c:symbol val="none"/>
          </c:marker>
          <c:xVal>
            <c:numRef>
              <c:f>'WPF Model'!$R$25:$R$34</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Model'!$S$25:$S$34</c:f>
              <c:numCache>
                <c:formatCode>0.00</c:formatCode>
                <c:ptCount val="10"/>
                <c:pt idx="0">
                  <c:v>-0.64571428571428569</c:v>
                </c:pt>
                <c:pt idx="1">
                  <c:v>-0.30285714285714277</c:v>
                </c:pt>
                <c:pt idx="2">
                  <c:v>0</c:v>
                </c:pt>
                <c:pt idx="3">
                  <c:v>0.26285714285714312</c:v>
                </c:pt>
                <c:pt idx="4">
                  <c:v>0.48571428571428599</c:v>
                </c:pt>
                <c:pt idx="5">
                  <c:v>0.66857142857142904</c:v>
                </c:pt>
                <c:pt idx="6">
                  <c:v>0.81142857142857172</c:v>
                </c:pt>
                <c:pt idx="7">
                  <c:v>0.91428571428571459</c:v>
                </c:pt>
                <c:pt idx="8">
                  <c:v>0.97714285714285776</c:v>
                </c:pt>
                <c:pt idx="9">
                  <c:v>1.0000000000000009</c:v>
                </c:pt>
              </c:numCache>
            </c:numRef>
          </c:yVal>
          <c:smooth val="1"/>
          <c:extLst>
            <c:ext xmlns:c16="http://schemas.microsoft.com/office/drawing/2014/chart" uri="{C3380CC4-5D6E-409C-BE32-E72D297353CC}">
              <c16:uniqueId val="{00000002-3A47-4B15-BF4E-FB6090ECA048}"/>
            </c:ext>
          </c:extLst>
        </c:ser>
        <c:ser>
          <c:idx val="1"/>
          <c:order val="1"/>
          <c:tx>
            <c:strRef>
              <c:f>'WPF Model'!$Q$23</c:f>
              <c:strCache>
                <c:ptCount val="1"/>
                <c:pt idx="0">
                  <c:v>C = -1</c:v>
                </c:pt>
              </c:strCache>
            </c:strRef>
          </c:tx>
          <c:marker>
            <c:symbol val="none"/>
          </c:marker>
          <c:xVal>
            <c:numRef>
              <c:f>'WPF Model'!$P$25:$P$34</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Model'!$Q$25:$Q$34</c:f>
              <c:numCache>
                <c:formatCode>0.00</c:formatCode>
                <c:ptCount val="10"/>
                <c:pt idx="0">
                  <c:v>-0.46571428571428575</c:v>
                </c:pt>
                <c:pt idx="1">
                  <c:v>-0.22285714285714284</c:v>
                </c:pt>
                <c:pt idx="2">
                  <c:v>0</c:v>
                </c:pt>
                <c:pt idx="3">
                  <c:v>0.20285714285714296</c:v>
                </c:pt>
                <c:pt idx="4">
                  <c:v>0.3857142857142859</c:v>
                </c:pt>
                <c:pt idx="5">
                  <c:v>0.54857142857142882</c:v>
                </c:pt>
                <c:pt idx="6">
                  <c:v>0.6914285714285715</c:v>
                </c:pt>
                <c:pt idx="7">
                  <c:v>0.8142857142857145</c:v>
                </c:pt>
                <c:pt idx="8">
                  <c:v>0.9171428571428577</c:v>
                </c:pt>
                <c:pt idx="9">
                  <c:v>1.0000000000000004</c:v>
                </c:pt>
              </c:numCache>
            </c:numRef>
          </c:yVal>
          <c:smooth val="1"/>
          <c:extLst>
            <c:ext xmlns:c16="http://schemas.microsoft.com/office/drawing/2014/chart" uri="{C3380CC4-5D6E-409C-BE32-E72D297353CC}">
              <c16:uniqueId val="{00000001-3A47-4B15-BF4E-FB6090ECA048}"/>
            </c:ext>
          </c:extLst>
        </c:ser>
        <c:ser>
          <c:idx val="0"/>
          <c:order val="2"/>
          <c:tx>
            <c:strRef>
              <c:f>'WPF Model'!$O$23</c:f>
              <c:strCache>
                <c:ptCount val="1"/>
                <c:pt idx="0">
                  <c:v>C = 0</c:v>
                </c:pt>
              </c:strCache>
            </c:strRef>
          </c:tx>
          <c:marker>
            <c:symbol val="none"/>
          </c:marker>
          <c:xVal>
            <c:numRef>
              <c:f>'WPF Model'!$N$25:$N$34</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Model'!$O$25:$O$34</c:f>
              <c:numCache>
                <c:formatCode>0.00</c:formatCode>
                <c:ptCount val="10"/>
                <c:pt idx="0">
                  <c:v>-0.2857142857142857</c:v>
                </c:pt>
                <c:pt idx="1">
                  <c:v>-0.14285714285714285</c:v>
                </c:pt>
                <c:pt idx="2">
                  <c:v>-5.5511151231257827E-17</c:v>
                </c:pt>
                <c:pt idx="3">
                  <c:v>0.1428571428571429</c:v>
                </c:pt>
                <c:pt idx="4">
                  <c:v>0.2857142857142857</c:v>
                </c:pt>
                <c:pt idx="5">
                  <c:v>0.42857142857142849</c:v>
                </c:pt>
                <c:pt idx="6">
                  <c:v>0.5714285714285714</c:v>
                </c:pt>
                <c:pt idx="7">
                  <c:v>0.71428571428571441</c:v>
                </c:pt>
                <c:pt idx="8">
                  <c:v>0.85714285714285721</c:v>
                </c:pt>
                <c:pt idx="9">
                  <c:v>1</c:v>
                </c:pt>
              </c:numCache>
            </c:numRef>
          </c:yVal>
          <c:smooth val="1"/>
          <c:extLst>
            <c:ext xmlns:c16="http://schemas.microsoft.com/office/drawing/2014/chart" uri="{C3380CC4-5D6E-409C-BE32-E72D297353CC}">
              <c16:uniqueId val="{00000000-3A47-4B15-BF4E-FB6090ECA048}"/>
            </c:ext>
          </c:extLst>
        </c:ser>
        <c:dLbls>
          <c:showLegendKey val="0"/>
          <c:showVal val="0"/>
          <c:showCatName val="0"/>
          <c:showSerName val="0"/>
          <c:showPercent val="0"/>
          <c:showBubbleSize val="0"/>
        </c:dLbls>
        <c:axId val="60606720"/>
        <c:axId val="63046016"/>
      </c:scatterChart>
      <c:valAx>
        <c:axId val="60606720"/>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out"/>
        <c:minorTickMark val="cross"/>
        <c:tickLblPos val="nextTo"/>
        <c:txPr>
          <a:bodyPr/>
          <a:lstStyle/>
          <a:p>
            <a:pPr>
              <a:defRPr sz="1050"/>
            </a:pPr>
            <a:endParaRPr lang="en-US"/>
          </a:p>
        </c:txPr>
        <c:crossAx val="63046016"/>
        <c:crosses val="autoZero"/>
        <c:crossBetween val="midCat"/>
        <c:minorUnit val="0.1"/>
      </c:valAx>
      <c:valAx>
        <c:axId val="63046016"/>
        <c:scaling>
          <c:orientation val="minMax"/>
          <c:max val="1"/>
          <c:min val="0"/>
        </c:scaling>
        <c:delete val="0"/>
        <c:axPos val="l"/>
        <c:majorGridlines>
          <c:spPr>
            <a:ln>
              <a:noFill/>
            </a:ln>
          </c:spPr>
        </c:majorGridlines>
        <c:title>
          <c:tx>
            <c:rich>
              <a:bodyPr rot="-5400000" vert="horz"/>
              <a:lstStyle/>
              <a:p>
                <a:pPr>
                  <a:defRPr sz="1100"/>
                </a:pPr>
                <a:r>
                  <a:rPr lang="en-US" sz="1100"/>
                  <a:t>Relative Yield,</a:t>
                </a:r>
                <a:r>
                  <a:rPr lang="en-US" sz="1100" baseline="0"/>
                  <a:t> </a:t>
                </a:r>
                <a:r>
                  <a:rPr lang="en-US" sz="1100" i="1" baseline="0"/>
                  <a:t>Y</a:t>
                </a:r>
                <a:r>
                  <a:rPr lang="en-US" sz="1100" i="1" baseline="-25000"/>
                  <a:t>R</a:t>
                </a:r>
              </a:p>
            </c:rich>
          </c:tx>
          <c:overlay val="0"/>
        </c:title>
        <c:numFmt formatCode="0.0" sourceLinked="0"/>
        <c:majorTickMark val="out"/>
        <c:minorTickMark val="cross"/>
        <c:tickLblPos val="nextTo"/>
        <c:txPr>
          <a:bodyPr/>
          <a:lstStyle/>
          <a:p>
            <a:pPr>
              <a:defRPr sz="1050"/>
            </a:pPr>
            <a:endParaRPr lang="en-US"/>
          </a:p>
        </c:txPr>
        <c:crossAx val="60606720"/>
        <c:crosses val="autoZero"/>
        <c:crossBetween val="midCat"/>
        <c:majorUnit val="0.2"/>
        <c:minorUnit val="0.1"/>
      </c:valAx>
      <c:spPr>
        <a:ln>
          <a:solidFill>
            <a:schemeClr val="tx1"/>
          </a:solidFill>
        </a:ln>
      </c:spPr>
    </c:plotArea>
    <c:legend>
      <c:legendPos val="r"/>
      <c:layout>
        <c:manualLayout>
          <c:xMode val="edge"/>
          <c:yMode val="edge"/>
          <c:x val="0.69684380032206117"/>
          <c:y val="0.55615962017486664"/>
          <c:w val="0.1872141706924316"/>
          <c:h val="0.20868883427788087"/>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a:t>
            </a:r>
          </a:p>
        </c:rich>
      </c:tx>
      <c:layout>
        <c:manualLayout>
          <c:xMode val="edge"/>
          <c:yMode val="edge"/>
          <c:x val="0.16413835951665459"/>
          <c:y val="0.11688311688311688"/>
        </c:manualLayout>
      </c:layout>
      <c:overlay val="1"/>
    </c:title>
    <c:autoTitleDeleted val="0"/>
    <c:plotArea>
      <c:layout>
        <c:manualLayout>
          <c:layoutTarget val="inner"/>
          <c:xMode val="edge"/>
          <c:yMode val="edge"/>
          <c:x val="0.1337527736569161"/>
          <c:y val="9.2951662292213466E-2"/>
          <c:w val="0.81218456388603588"/>
          <c:h val="0.70688332427514577"/>
        </c:manualLayout>
      </c:layout>
      <c:scatterChart>
        <c:scatterStyle val="smoothMarker"/>
        <c:varyColors val="0"/>
        <c:ser>
          <c:idx val="0"/>
          <c:order val="0"/>
          <c:tx>
            <c:strRef>
              <c:f>IrrReq!$B$32</c:f>
              <c:strCache>
                <c:ptCount val="1"/>
                <c:pt idx="0">
                  <c:v>0.6</c:v>
                </c:pt>
              </c:strCache>
            </c:strRef>
          </c:tx>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IrrReq!$I$46:$I$66</c:f>
              <c:numCache>
                <c:formatCode>0.00</c:formatCode>
                <c:ptCount val="21"/>
                <c:pt idx="0">
                  <c:v>0.59999999999999987</c:v>
                </c:pt>
                <c:pt idx="1">
                  <c:v>0.64482142857142843</c:v>
                </c:pt>
                <c:pt idx="2">
                  <c:v>0.68714285714285717</c:v>
                </c:pt>
                <c:pt idx="3">
                  <c:v>0.72696428571428573</c:v>
                </c:pt>
                <c:pt idx="4">
                  <c:v>0.76428571428571435</c:v>
                </c:pt>
                <c:pt idx="5">
                  <c:v>0.7991071428571429</c:v>
                </c:pt>
                <c:pt idx="6">
                  <c:v>0.83142857142857152</c:v>
                </c:pt>
                <c:pt idx="7">
                  <c:v>0.86125000000000007</c:v>
                </c:pt>
                <c:pt idx="8">
                  <c:v>0.88857142857142868</c:v>
                </c:pt>
                <c:pt idx="9">
                  <c:v>0.91339285714285723</c:v>
                </c:pt>
                <c:pt idx="10">
                  <c:v>0.93571428571428583</c:v>
                </c:pt>
                <c:pt idx="11">
                  <c:v>0.95553571428571438</c:v>
                </c:pt>
                <c:pt idx="12">
                  <c:v>0.97285714285714286</c:v>
                </c:pt>
                <c:pt idx="13">
                  <c:v>0.98767857142857141</c:v>
                </c:pt>
                <c:pt idx="14">
                  <c:v>1</c:v>
                </c:pt>
                <c:pt idx="15">
                  <c:v>1</c:v>
                </c:pt>
                <c:pt idx="16">
                  <c:v>1</c:v>
                </c:pt>
                <c:pt idx="17">
                  <c:v>1</c:v>
                </c:pt>
                <c:pt idx="18">
                  <c:v>1</c:v>
                </c:pt>
                <c:pt idx="19">
                  <c:v>1</c:v>
                </c:pt>
                <c:pt idx="20">
                  <c:v>1</c:v>
                </c:pt>
              </c:numCache>
            </c:numRef>
          </c:yVal>
          <c:smooth val="1"/>
          <c:extLst>
            <c:ext xmlns:c16="http://schemas.microsoft.com/office/drawing/2014/chart" uri="{C3380CC4-5D6E-409C-BE32-E72D297353CC}">
              <c16:uniqueId val="{00000000-10D6-4B90-8AEC-2B960FC90B25}"/>
            </c:ext>
          </c:extLst>
        </c:ser>
        <c:dLbls>
          <c:showLegendKey val="0"/>
          <c:showVal val="0"/>
          <c:showCatName val="0"/>
          <c:showSerName val="0"/>
          <c:showPercent val="0"/>
          <c:showBubbleSize val="0"/>
        </c:dLbls>
        <c:axId val="63097472"/>
        <c:axId val="63107840"/>
      </c:scatterChart>
      <c:valAx>
        <c:axId val="63097472"/>
        <c:scaling>
          <c:orientation val="minMax"/>
          <c:max val="1"/>
          <c:min val="0"/>
        </c:scaling>
        <c:delete val="0"/>
        <c:axPos val="b"/>
        <c:title>
          <c:tx>
            <c:rich>
              <a:bodyPr/>
              <a:lstStyle/>
              <a:p>
                <a:pPr>
                  <a:defRPr sz="1100"/>
                </a:pPr>
                <a:r>
                  <a:rPr lang="en-US" sz="1100"/>
                  <a:t>Relative ET, </a:t>
                </a:r>
                <a:r>
                  <a:rPr lang="en-US" sz="1100" i="1"/>
                  <a:t>x</a:t>
                </a:r>
              </a:p>
            </c:rich>
          </c:tx>
          <c:overlay val="0"/>
        </c:title>
        <c:numFmt formatCode="0.00" sourceLinked="1"/>
        <c:majorTickMark val="out"/>
        <c:minorTickMark val="none"/>
        <c:tickLblPos val="nextTo"/>
        <c:txPr>
          <a:bodyPr/>
          <a:lstStyle/>
          <a:p>
            <a:pPr>
              <a:defRPr sz="1050"/>
            </a:pPr>
            <a:endParaRPr lang="en-US"/>
          </a:p>
        </c:txPr>
        <c:crossAx val="63107840"/>
        <c:crosses val="autoZero"/>
        <c:crossBetween val="midCat"/>
      </c:valAx>
      <c:valAx>
        <c:axId val="63107840"/>
        <c:scaling>
          <c:orientation val="minMax"/>
          <c:max val="1"/>
          <c:min val="0"/>
        </c:scaling>
        <c:delete val="0"/>
        <c:axPos val="l"/>
        <c:majorGridlines>
          <c:spPr>
            <a:ln>
              <a:noFill/>
            </a:ln>
          </c:spPr>
        </c:majorGridlines>
        <c:title>
          <c:tx>
            <c:rich>
              <a:bodyPr rot="-5400000" vert="horz"/>
              <a:lstStyle/>
              <a:p>
                <a:pPr>
                  <a:defRPr sz="1100"/>
                </a:pPr>
                <a:r>
                  <a:rPr lang="en-US" sz="1100"/>
                  <a:t>Irrigation Efficiency, </a:t>
                </a:r>
                <a:r>
                  <a:rPr lang="en-US" sz="1100" i="1"/>
                  <a:t>Ei</a:t>
                </a:r>
              </a:p>
            </c:rich>
          </c:tx>
          <c:overlay val="0"/>
        </c:title>
        <c:numFmt formatCode="0.0" sourceLinked="0"/>
        <c:majorTickMark val="cross"/>
        <c:minorTickMark val="cross"/>
        <c:tickLblPos val="nextTo"/>
        <c:txPr>
          <a:bodyPr/>
          <a:lstStyle/>
          <a:p>
            <a:pPr>
              <a:defRPr sz="1050"/>
            </a:pPr>
            <a:endParaRPr lang="en-US"/>
          </a:p>
        </c:txPr>
        <c:crossAx val="63097472"/>
        <c:crosses val="autoZero"/>
        <c:crossBetween val="midCat"/>
        <c:majorUnit val="0.2"/>
        <c:minorUnit val="0.1"/>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a:t>
            </a:r>
          </a:p>
        </c:rich>
      </c:tx>
      <c:layout>
        <c:manualLayout>
          <c:xMode val="edge"/>
          <c:yMode val="edge"/>
          <c:x val="0.17531388286609098"/>
          <c:y val="0.14285714285714285"/>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IrrReq!$B$10</c:f>
              <c:strCache>
                <c:ptCount val="1"/>
                <c:pt idx="0">
                  <c:v>-1</c:v>
                </c:pt>
              </c:strCache>
            </c:strRef>
          </c:tx>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IrrReq!$D$46:$D$66</c:f>
              <c:numCache>
                <c:formatCode>0.00</c:formatCode>
                <c:ptCount val="21"/>
                <c:pt idx="0">
                  <c:v>0.6</c:v>
                </c:pt>
                <c:pt idx="1">
                  <c:v>0.66107142857142853</c:v>
                </c:pt>
                <c:pt idx="2">
                  <c:v>0.71714285714285719</c:v>
                </c:pt>
                <c:pt idx="3">
                  <c:v>0.76821428571428574</c:v>
                </c:pt>
                <c:pt idx="4">
                  <c:v>0.81428571428571439</c:v>
                </c:pt>
                <c:pt idx="5">
                  <c:v>0.85535714285714304</c:v>
                </c:pt>
                <c:pt idx="6">
                  <c:v>0.89142857142857168</c:v>
                </c:pt>
                <c:pt idx="7">
                  <c:v>0.9225000000000001</c:v>
                </c:pt>
                <c:pt idx="8">
                  <c:v>0.94857142857142862</c:v>
                </c:pt>
                <c:pt idx="9">
                  <c:v>0.96964285714285725</c:v>
                </c:pt>
                <c:pt idx="10">
                  <c:v>0.98571428571428577</c:v>
                </c:pt>
                <c:pt idx="11">
                  <c:v>0.99678571428571427</c:v>
                </c:pt>
                <c:pt idx="12">
                  <c:v>1.0028571428571429</c:v>
                </c:pt>
                <c:pt idx="13">
                  <c:v>1.0039285714285713</c:v>
                </c:pt>
                <c:pt idx="14">
                  <c:v>0.99999999999999989</c:v>
                </c:pt>
                <c:pt idx="15">
                  <c:v>1</c:v>
                </c:pt>
                <c:pt idx="16">
                  <c:v>1</c:v>
                </c:pt>
                <c:pt idx="17">
                  <c:v>1</c:v>
                </c:pt>
                <c:pt idx="18">
                  <c:v>1</c:v>
                </c:pt>
                <c:pt idx="19">
                  <c:v>1</c:v>
                </c:pt>
                <c:pt idx="20">
                  <c:v>1</c:v>
                </c:pt>
              </c:numCache>
            </c:numRef>
          </c:yVal>
          <c:smooth val="1"/>
          <c:extLst>
            <c:ext xmlns:c16="http://schemas.microsoft.com/office/drawing/2014/chart" uri="{C3380CC4-5D6E-409C-BE32-E72D297353CC}">
              <c16:uniqueId val="{00000000-CFB1-4AA4-833E-9A63F20AD90E}"/>
            </c:ext>
          </c:extLst>
        </c:ser>
        <c:dLbls>
          <c:showLegendKey val="0"/>
          <c:showVal val="0"/>
          <c:showCatName val="0"/>
          <c:showSerName val="0"/>
          <c:showPercent val="0"/>
          <c:showBubbleSize val="0"/>
        </c:dLbls>
        <c:axId val="57541760"/>
        <c:axId val="57543680"/>
      </c:scatterChart>
      <c:valAx>
        <c:axId val="57541760"/>
        <c:scaling>
          <c:orientation val="minMax"/>
          <c:max val="1"/>
          <c:min val="0"/>
        </c:scaling>
        <c:delete val="0"/>
        <c:axPos val="b"/>
        <c:title>
          <c:tx>
            <c:rich>
              <a:bodyPr/>
              <a:lstStyle/>
              <a:p>
                <a:pPr>
                  <a:defRPr sz="1100"/>
                </a:pPr>
                <a:r>
                  <a:rPr lang="en-US" sz="1100"/>
                  <a:t>Relative ET, </a:t>
                </a:r>
                <a:r>
                  <a:rPr lang="en-US" sz="1100" i="1"/>
                  <a:t>x</a:t>
                </a:r>
              </a:p>
            </c:rich>
          </c:tx>
          <c:overlay val="0"/>
        </c:title>
        <c:numFmt formatCode="0.00" sourceLinked="1"/>
        <c:majorTickMark val="out"/>
        <c:minorTickMark val="none"/>
        <c:tickLblPos val="nextTo"/>
        <c:txPr>
          <a:bodyPr/>
          <a:lstStyle/>
          <a:p>
            <a:pPr>
              <a:defRPr sz="1050"/>
            </a:pPr>
            <a:endParaRPr lang="en-US"/>
          </a:p>
        </c:txPr>
        <c:crossAx val="57543680"/>
        <c:crosses val="autoZero"/>
        <c:crossBetween val="midCat"/>
      </c:valAx>
      <c:valAx>
        <c:axId val="57543680"/>
        <c:scaling>
          <c:orientation val="minMax"/>
          <c:max val="1"/>
          <c:min val="0"/>
        </c:scaling>
        <c:delete val="0"/>
        <c:axPos val="l"/>
        <c:majorGridlines>
          <c:spPr>
            <a:ln>
              <a:noFill/>
            </a:ln>
          </c:spPr>
        </c:majorGridlines>
        <c:title>
          <c:tx>
            <c:rich>
              <a:bodyPr rot="-5400000" vert="horz"/>
              <a:lstStyle/>
              <a:p>
                <a:pPr>
                  <a:defRPr sz="1100"/>
                </a:pPr>
                <a:r>
                  <a:rPr lang="en-US" sz="1100"/>
                  <a:t>Precip Efficiency, </a:t>
                </a:r>
                <a:r>
                  <a:rPr lang="en-US" sz="1100" i="1"/>
                  <a:t>Er</a:t>
                </a:r>
              </a:p>
            </c:rich>
          </c:tx>
          <c:layout>
            <c:manualLayout>
              <c:xMode val="edge"/>
              <c:yMode val="edge"/>
              <c:x val="9.6618357487922701E-3"/>
              <c:y val="0.33177080137710058"/>
            </c:manualLayout>
          </c:layout>
          <c:overlay val="0"/>
        </c:title>
        <c:numFmt formatCode="0.0" sourceLinked="0"/>
        <c:majorTickMark val="cross"/>
        <c:minorTickMark val="cross"/>
        <c:tickLblPos val="nextTo"/>
        <c:crossAx val="57541760"/>
        <c:crosses val="autoZero"/>
        <c:crossBetween val="midCat"/>
        <c:majorUnit val="0.2"/>
        <c:minorUnit val="0.1"/>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a:t>
            </a:r>
          </a:p>
        </c:rich>
      </c:tx>
      <c:layout>
        <c:manualLayout>
          <c:xMode val="edge"/>
          <c:yMode val="edge"/>
          <c:x val="0.17009649156174322"/>
          <c:y val="0.12121212121212122"/>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IrrReq!$B$22</c:f>
              <c:strCache>
                <c:ptCount val="1"/>
                <c:pt idx="0">
                  <c:v>-2</c:v>
                </c:pt>
              </c:strCache>
            </c:strRef>
          </c:tx>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IrrReq!$F$46:$F$66</c:f>
              <c:numCache>
                <c:formatCode>0.00</c:formatCode>
                <c:ptCount val="21"/>
                <c:pt idx="0">
                  <c:v>0</c:v>
                </c:pt>
                <c:pt idx="1">
                  <c:v>0.14500000000000002</c:v>
                </c:pt>
                <c:pt idx="2">
                  <c:v>0.28000000000000025</c:v>
                </c:pt>
                <c:pt idx="3">
                  <c:v>0.40500000000000025</c:v>
                </c:pt>
                <c:pt idx="4">
                  <c:v>0.52000000000000046</c:v>
                </c:pt>
                <c:pt idx="5">
                  <c:v>0.62500000000000044</c:v>
                </c:pt>
                <c:pt idx="6">
                  <c:v>0.72000000000000053</c:v>
                </c:pt>
                <c:pt idx="7">
                  <c:v>0.80500000000000049</c:v>
                </c:pt>
                <c:pt idx="8">
                  <c:v>0.88000000000000045</c:v>
                </c:pt>
                <c:pt idx="9">
                  <c:v>0.94500000000000051</c:v>
                </c:pt>
                <c:pt idx="10">
                  <c:v>1.0000000000000004</c:v>
                </c:pt>
                <c:pt idx="11">
                  <c:v>1</c:v>
                </c:pt>
                <c:pt idx="12">
                  <c:v>1</c:v>
                </c:pt>
                <c:pt idx="13">
                  <c:v>1</c:v>
                </c:pt>
                <c:pt idx="14">
                  <c:v>1</c:v>
                </c:pt>
                <c:pt idx="15">
                  <c:v>1</c:v>
                </c:pt>
                <c:pt idx="16">
                  <c:v>1</c:v>
                </c:pt>
                <c:pt idx="17">
                  <c:v>1</c:v>
                </c:pt>
                <c:pt idx="18">
                  <c:v>1</c:v>
                </c:pt>
                <c:pt idx="19">
                  <c:v>1</c:v>
                </c:pt>
                <c:pt idx="20">
                  <c:v>1</c:v>
                </c:pt>
              </c:numCache>
            </c:numRef>
          </c:yVal>
          <c:smooth val="1"/>
          <c:extLst>
            <c:ext xmlns:c16="http://schemas.microsoft.com/office/drawing/2014/chart" uri="{C3380CC4-5D6E-409C-BE32-E72D297353CC}">
              <c16:uniqueId val="{00000000-D215-41EA-AC22-A9A6DC802813}"/>
            </c:ext>
          </c:extLst>
        </c:ser>
        <c:dLbls>
          <c:showLegendKey val="0"/>
          <c:showVal val="0"/>
          <c:showCatName val="0"/>
          <c:showSerName val="0"/>
          <c:showPercent val="0"/>
          <c:showBubbleSize val="0"/>
        </c:dLbls>
        <c:axId val="62958592"/>
        <c:axId val="62968960"/>
      </c:scatterChart>
      <c:valAx>
        <c:axId val="62958592"/>
        <c:scaling>
          <c:orientation val="minMax"/>
          <c:max val="1"/>
          <c:min val="0"/>
        </c:scaling>
        <c:delete val="0"/>
        <c:axPos val="b"/>
        <c:title>
          <c:tx>
            <c:rich>
              <a:bodyPr/>
              <a:lstStyle/>
              <a:p>
                <a:pPr>
                  <a:defRPr sz="1100"/>
                </a:pPr>
                <a:r>
                  <a:rPr lang="en-US" sz="1100"/>
                  <a:t>Relative ET, </a:t>
                </a:r>
                <a:r>
                  <a:rPr lang="en-US" sz="1100" i="1"/>
                  <a:t>x</a:t>
                </a:r>
              </a:p>
            </c:rich>
          </c:tx>
          <c:overlay val="0"/>
        </c:title>
        <c:numFmt formatCode="0.00" sourceLinked="1"/>
        <c:majorTickMark val="out"/>
        <c:minorTickMark val="none"/>
        <c:tickLblPos val="nextTo"/>
        <c:txPr>
          <a:bodyPr/>
          <a:lstStyle/>
          <a:p>
            <a:pPr>
              <a:defRPr sz="1050"/>
            </a:pPr>
            <a:endParaRPr lang="en-US"/>
          </a:p>
        </c:txPr>
        <c:crossAx val="62968960"/>
        <c:crosses val="autoZero"/>
        <c:crossBetween val="midCat"/>
      </c:valAx>
      <c:valAx>
        <c:axId val="62968960"/>
        <c:scaling>
          <c:orientation val="minMax"/>
          <c:max val="1"/>
          <c:min val="0"/>
        </c:scaling>
        <c:delete val="0"/>
        <c:axPos val="l"/>
        <c:majorGridlines>
          <c:spPr>
            <a:ln>
              <a:noFill/>
            </a:ln>
          </c:spPr>
        </c:majorGridlines>
        <c:title>
          <c:tx>
            <c:rich>
              <a:bodyPr rot="-5400000" vert="horz"/>
              <a:lstStyle/>
              <a:p>
                <a:pPr>
                  <a:defRPr sz="1100"/>
                </a:pPr>
                <a:r>
                  <a:rPr lang="en-US" sz="1100"/>
                  <a:t>Storage Efficiency, </a:t>
                </a:r>
                <a:r>
                  <a:rPr lang="en-US" sz="1100" i="1"/>
                  <a:t>Es</a:t>
                </a:r>
              </a:p>
            </c:rich>
          </c:tx>
          <c:overlay val="0"/>
        </c:title>
        <c:numFmt formatCode="0.0" sourceLinked="0"/>
        <c:majorTickMark val="cross"/>
        <c:minorTickMark val="cross"/>
        <c:tickLblPos val="nextTo"/>
        <c:crossAx val="62958592"/>
        <c:crosses val="autoZero"/>
        <c:crossBetween val="midCat"/>
        <c:majorUnit val="0.2"/>
        <c:minorUnit val="0.1"/>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272681943781"/>
          <c:y val="3.1976185903591317E-2"/>
          <c:w val="0.81218456388603588"/>
          <c:h val="0.81161961462134302"/>
        </c:manualLayout>
      </c:layout>
      <c:scatterChart>
        <c:scatterStyle val="smoothMarker"/>
        <c:varyColors val="0"/>
        <c:ser>
          <c:idx val="0"/>
          <c:order val="0"/>
          <c:tx>
            <c:strRef>
              <c:f>IrrReq!$B$45</c:f>
              <c:strCache>
                <c:ptCount val="1"/>
                <c:pt idx="0">
                  <c:v>ET</c:v>
                </c:pt>
              </c:strCache>
            </c:strRef>
          </c:tx>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IrrReq!$B$46:$B$66</c:f>
              <c:numCache>
                <c:formatCode>0</c:formatCode>
                <c:ptCount val="21"/>
                <c:pt idx="0">
                  <c:v>630</c:v>
                </c:pt>
                <c:pt idx="1">
                  <c:v>598.5</c:v>
                </c:pt>
                <c:pt idx="2">
                  <c:v>567</c:v>
                </c:pt>
                <c:pt idx="3">
                  <c:v>535.49999999999989</c:v>
                </c:pt>
                <c:pt idx="4">
                  <c:v>503.99999999999989</c:v>
                </c:pt>
                <c:pt idx="5">
                  <c:v>472.49999999999989</c:v>
                </c:pt>
                <c:pt idx="6">
                  <c:v>440.99999999999983</c:v>
                </c:pt>
                <c:pt idx="7">
                  <c:v>409.49999999999983</c:v>
                </c:pt>
                <c:pt idx="8">
                  <c:v>377.99999999999977</c:v>
                </c:pt>
                <c:pt idx="9">
                  <c:v>346.49999999999977</c:v>
                </c:pt>
                <c:pt idx="10">
                  <c:v>314.99999999999977</c:v>
                </c:pt>
                <c:pt idx="11">
                  <c:v>283.49999999999977</c:v>
                </c:pt>
                <c:pt idx="12">
                  <c:v>251.99999999999977</c:v>
                </c:pt>
                <c:pt idx="13">
                  <c:v>220.49999999999977</c:v>
                </c:pt>
                <c:pt idx="14">
                  <c:v>188.99999999999977</c:v>
                </c:pt>
                <c:pt idx="15">
                  <c:v>157.4999999999998</c:v>
                </c:pt>
                <c:pt idx="16">
                  <c:v>125.9999999999998</c:v>
                </c:pt>
                <c:pt idx="17">
                  <c:v>94.499999999999801</c:v>
                </c:pt>
                <c:pt idx="18">
                  <c:v>62.999999999999801</c:v>
                </c:pt>
                <c:pt idx="19">
                  <c:v>31.499999999999801</c:v>
                </c:pt>
                <c:pt idx="20">
                  <c:v>-2.0108914533523148E-13</c:v>
                </c:pt>
              </c:numCache>
            </c:numRef>
          </c:yVal>
          <c:smooth val="1"/>
          <c:extLst>
            <c:ext xmlns:c16="http://schemas.microsoft.com/office/drawing/2014/chart" uri="{C3380CC4-5D6E-409C-BE32-E72D297353CC}">
              <c16:uniqueId val="{00000000-3EB0-4513-99DF-BBF8F52D07F0}"/>
            </c:ext>
          </c:extLst>
        </c:ser>
        <c:ser>
          <c:idx val="4"/>
          <c:order val="1"/>
          <c:tx>
            <c:strRef>
              <c:f>IrrReq!$H$45</c:f>
              <c:strCache>
                <c:ptCount val="1"/>
                <c:pt idx="0">
                  <c:v>IR</c:v>
                </c:pt>
              </c:strCache>
            </c:strRef>
          </c:tx>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IrrReq!$H$46:$H$66</c:f>
              <c:numCache>
                <c:formatCode>0</c:formatCode>
                <c:ptCount val="21"/>
                <c:pt idx="0">
                  <c:v>501</c:v>
                </c:pt>
                <c:pt idx="1">
                  <c:v>444.76964285714286</c:v>
                </c:pt>
                <c:pt idx="2">
                  <c:v>390.41428571428565</c:v>
                </c:pt>
                <c:pt idx="3">
                  <c:v>337.93392857142845</c:v>
                </c:pt>
                <c:pt idx="4">
                  <c:v>287.32857142857131</c:v>
                </c:pt>
                <c:pt idx="5">
                  <c:v>238.59821428571408</c:v>
                </c:pt>
                <c:pt idx="6">
                  <c:v>191.74285714285688</c:v>
                </c:pt>
                <c:pt idx="7">
                  <c:v>146.76249999999976</c:v>
                </c:pt>
                <c:pt idx="8">
                  <c:v>103.65714285714259</c:v>
                </c:pt>
                <c:pt idx="9">
                  <c:v>62.42678571428543</c:v>
                </c:pt>
                <c:pt idx="10">
                  <c:v>23.071428571428299</c:v>
                </c:pt>
                <c:pt idx="11">
                  <c:v>-10.808928571428794</c:v>
                </c:pt>
                <c:pt idx="12">
                  <c:v>-43.614285714285955</c:v>
                </c:pt>
                <c:pt idx="13">
                  <c:v>-75.344642857143043</c:v>
                </c:pt>
                <c:pt idx="14">
                  <c:v>-106.0000000000002</c:v>
                </c:pt>
                <c:pt idx="15">
                  <c:v>-137.5000000000002</c:v>
                </c:pt>
                <c:pt idx="16">
                  <c:v>-169.0000000000002</c:v>
                </c:pt>
                <c:pt idx="17">
                  <c:v>-200.5000000000002</c:v>
                </c:pt>
                <c:pt idx="18">
                  <c:v>-232.0000000000002</c:v>
                </c:pt>
                <c:pt idx="19">
                  <c:v>-263.50000000000023</c:v>
                </c:pt>
                <c:pt idx="20">
                  <c:v>-295.00000000000023</c:v>
                </c:pt>
              </c:numCache>
            </c:numRef>
          </c:yVal>
          <c:smooth val="1"/>
          <c:extLst>
            <c:ext xmlns:c16="http://schemas.microsoft.com/office/drawing/2014/chart" uri="{C3380CC4-5D6E-409C-BE32-E72D297353CC}">
              <c16:uniqueId val="{00000001-3EB0-4513-99DF-BBF8F52D07F0}"/>
            </c:ext>
          </c:extLst>
        </c:ser>
        <c:ser>
          <c:idx val="5"/>
          <c:order val="2"/>
          <c:tx>
            <c:strRef>
              <c:f>IrrReq!$J$45</c:f>
              <c:strCache>
                <c:ptCount val="1"/>
                <c:pt idx="0">
                  <c:v>IS</c:v>
                </c:pt>
              </c:strCache>
            </c:strRef>
          </c:tx>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IrrReq!$J$46:$J$66</c:f>
              <c:numCache>
                <c:formatCode>0</c:formatCode>
                <c:ptCount val="21"/>
                <c:pt idx="0">
                  <c:v>835.00000000000023</c:v>
                </c:pt>
                <c:pt idx="1">
                  <c:v>689.75630019385221</c:v>
                </c:pt>
                <c:pt idx="2">
                  <c:v>568.17047817047808</c:v>
                </c:pt>
                <c:pt idx="3">
                  <c:v>464.85630066322756</c:v>
                </c:pt>
                <c:pt idx="4">
                  <c:v>375.94392523364468</c:v>
                </c:pt>
                <c:pt idx="5">
                  <c:v>298.58100558659191</c:v>
                </c:pt>
                <c:pt idx="6">
                  <c:v>230.61855670103057</c:v>
                </c:pt>
                <c:pt idx="7">
                  <c:v>170.40638606676313</c:v>
                </c:pt>
                <c:pt idx="8">
                  <c:v>116.65594855305434</c:v>
                </c:pt>
                <c:pt idx="9">
                  <c:v>68.34604105571816</c:v>
                </c:pt>
                <c:pt idx="10">
                  <c:v>24.656488549618025</c:v>
                </c:pt>
                <c:pt idx="11">
                  <c:v>-11.311904316950335</c:v>
                </c:pt>
                <c:pt idx="12">
                  <c:v>-44.831130690161771</c:v>
                </c:pt>
                <c:pt idx="13">
                  <c:v>-76.284577834026592</c:v>
                </c:pt>
                <c:pt idx="14">
                  <c:v>-106.0000000000002</c:v>
                </c:pt>
                <c:pt idx="15">
                  <c:v>-137.5000000000002</c:v>
                </c:pt>
                <c:pt idx="16">
                  <c:v>-169.0000000000002</c:v>
                </c:pt>
                <c:pt idx="17">
                  <c:v>-200.5000000000002</c:v>
                </c:pt>
                <c:pt idx="18">
                  <c:v>-232.0000000000002</c:v>
                </c:pt>
                <c:pt idx="19">
                  <c:v>-263.50000000000023</c:v>
                </c:pt>
                <c:pt idx="20">
                  <c:v>-295.00000000000023</c:v>
                </c:pt>
              </c:numCache>
            </c:numRef>
          </c:yVal>
          <c:smooth val="1"/>
          <c:extLst>
            <c:ext xmlns:c16="http://schemas.microsoft.com/office/drawing/2014/chart" uri="{C3380CC4-5D6E-409C-BE32-E72D297353CC}">
              <c16:uniqueId val="{00000002-3EB0-4513-99DF-BBF8F52D07F0}"/>
            </c:ext>
          </c:extLst>
        </c:ser>
        <c:ser>
          <c:idx val="6"/>
          <c:order val="3"/>
          <c:tx>
            <c:strRef>
              <c:f>IrrReq!$E$45</c:f>
              <c:strCache>
                <c:ptCount val="1"/>
                <c:pt idx="0">
                  <c:v>Re</c:v>
                </c:pt>
              </c:strCache>
            </c:strRef>
          </c:tx>
          <c:spPr>
            <a:ln>
              <a:prstDash val="sysDot"/>
            </a:ln>
          </c:spPr>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IrrReq!$E$46:$E$66</c:f>
              <c:numCache>
                <c:formatCode>0</c:formatCode>
                <c:ptCount val="21"/>
                <c:pt idx="0">
                  <c:v>129</c:v>
                </c:pt>
                <c:pt idx="1">
                  <c:v>142.13035714285712</c:v>
                </c:pt>
                <c:pt idx="2">
                  <c:v>154.18571428571428</c:v>
                </c:pt>
                <c:pt idx="3">
                  <c:v>165.16607142857143</c:v>
                </c:pt>
                <c:pt idx="4">
                  <c:v>175.07142857142858</c:v>
                </c:pt>
                <c:pt idx="5">
                  <c:v>183.90178571428575</c:v>
                </c:pt>
                <c:pt idx="6">
                  <c:v>191.6571428571429</c:v>
                </c:pt>
                <c:pt idx="7">
                  <c:v>198.33750000000003</c:v>
                </c:pt>
                <c:pt idx="8">
                  <c:v>203.94285714285715</c:v>
                </c:pt>
                <c:pt idx="9">
                  <c:v>208.47321428571431</c:v>
                </c:pt>
                <c:pt idx="10">
                  <c:v>211.92857142857144</c:v>
                </c:pt>
                <c:pt idx="11">
                  <c:v>214.30892857142857</c:v>
                </c:pt>
                <c:pt idx="12">
                  <c:v>215.61428571428573</c:v>
                </c:pt>
                <c:pt idx="13">
                  <c:v>215.84464285714282</c:v>
                </c:pt>
                <c:pt idx="14">
                  <c:v>214.99999999999997</c:v>
                </c:pt>
                <c:pt idx="15">
                  <c:v>215</c:v>
                </c:pt>
                <c:pt idx="16">
                  <c:v>215</c:v>
                </c:pt>
                <c:pt idx="17">
                  <c:v>215</c:v>
                </c:pt>
                <c:pt idx="18">
                  <c:v>215</c:v>
                </c:pt>
                <c:pt idx="19">
                  <c:v>215</c:v>
                </c:pt>
                <c:pt idx="20">
                  <c:v>215</c:v>
                </c:pt>
              </c:numCache>
            </c:numRef>
          </c:yVal>
          <c:smooth val="1"/>
          <c:extLst>
            <c:ext xmlns:c16="http://schemas.microsoft.com/office/drawing/2014/chart" uri="{C3380CC4-5D6E-409C-BE32-E72D297353CC}">
              <c16:uniqueId val="{00000003-3EB0-4513-99DF-BBF8F52D07F0}"/>
            </c:ext>
          </c:extLst>
        </c:ser>
        <c:ser>
          <c:idx val="7"/>
          <c:order val="4"/>
          <c:tx>
            <c:strRef>
              <c:f>IrrReq!$G$45</c:f>
              <c:strCache>
                <c:ptCount val="1"/>
                <c:pt idx="0">
                  <c:v>Se</c:v>
                </c:pt>
              </c:strCache>
            </c:strRef>
          </c:tx>
          <c:spPr>
            <a:ln>
              <a:prstDash val="sysDot"/>
            </a:ln>
          </c:spPr>
          <c:marker>
            <c:symbol val="none"/>
          </c:marker>
          <c:xVal>
            <c:numRef>
              <c:f>IrrReq!$A$46:$A$66</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IrrReq!$G$46:$G$66</c:f>
              <c:numCache>
                <c:formatCode>0</c:formatCode>
                <c:ptCount val="21"/>
                <c:pt idx="0">
                  <c:v>0</c:v>
                </c:pt>
                <c:pt idx="1">
                  <c:v>11.600000000000001</c:v>
                </c:pt>
                <c:pt idx="2">
                  <c:v>22.40000000000002</c:v>
                </c:pt>
                <c:pt idx="3">
                  <c:v>32.40000000000002</c:v>
                </c:pt>
                <c:pt idx="4">
                  <c:v>41.600000000000037</c:v>
                </c:pt>
                <c:pt idx="5">
                  <c:v>50.000000000000036</c:v>
                </c:pt>
                <c:pt idx="6">
                  <c:v>57.600000000000044</c:v>
                </c:pt>
                <c:pt idx="7">
                  <c:v>64.400000000000034</c:v>
                </c:pt>
                <c:pt idx="8">
                  <c:v>70.400000000000034</c:v>
                </c:pt>
                <c:pt idx="9">
                  <c:v>75.600000000000037</c:v>
                </c:pt>
                <c:pt idx="10">
                  <c:v>80.000000000000028</c:v>
                </c:pt>
                <c:pt idx="11">
                  <c:v>80</c:v>
                </c:pt>
                <c:pt idx="12">
                  <c:v>80</c:v>
                </c:pt>
                <c:pt idx="13">
                  <c:v>80</c:v>
                </c:pt>
                <c:pt idx="14">
                  <c:v>80</c:v>
                </c:pt>
                <c:pt idx="15">
                  <c:v>80</c:v>
                </c:pt>
                <c:pt idx="16">
                  <c:v>80</c:v>
                </c:pt>
                <c:pt idx="17">
                  <c:v>80</c:v>
                </c:pt>
                <c:pt idx="18">
                  <c:v>80</c:v>
                </c:pt>
                <c:pt idx="19">
                  <c:v>80</c:v>
                </c:pt>
                <c:pt idx="20">
                  <c:v>80</c:v>
                </c:pt>
              </c:numCache>
            </c:numRef>
          </c:yVal>
          <c:smooth val="1"/>
          <c:extLst>
            <c:ext xmlns:c16="http://schemas.microsoft.com/office/drawing/2014/chart" uri="{C3380CC4-5D6E-409C-BE32-E72D297353CC}">
              <c16:uniqueId val="{00000004-3EB0-4513-99DF-BBF8F52D07F0}"/>
            </c:ext>
          </c:extLst>
        </c:ser>
        <c:dLbls>
          <c:showLegendKey val="0"/>
          <c:showVal val="0"/>
          <c:showCatName val="0"/>
          <c:showSerName val="0"/>
          <c:showPercent val="0"/>
          <c:showBubbleSize val="0"/>
        </c:dLbls>
        <c:axId val="62810368"/>
        <c:axId val="62837120"/>
      </c:scatterChart>
      <c:valAx>
        <c:axId val="62810368"/>
        <c:scaling>
          <c:orientation val="minMax"/>
          <c:max val="1"/>
          <c:min val="0"/>
        </c:scaling>
        <c:delete val="0"/>
        <c:axPos val="b"/>
        <c:title>
          <c:tx>
            <c:rich>
              <a:bodyPr/>
              <a:lstStyle/>
              <a:p>
                <a:pPr>
                  <a:defRPr sz="1050"/>
                </a:pPr>
                <a:r>
                  <a:rPr lang="en-US" sz="1050"/>
                  <a:t>Relative ET, </a:t>
                </a:r>
                <a:r>
                  <a:rPr lang="en-US" sz="1050" i="1"/>
                  <a:t>x</a:t>
                </a:r>
              </a:p>
            </c:rich>
          </c:tx>
          <c:overlay val="0"/>
        </c:title>
        <c:numFmt formatCode="0.00" sourceLinked="1"/>
        <c:majorTickMark val="out"/>
        <c:minorTickMark val="none"/>
        <c:tickLblPos val="nextTo"/>
        <c:crossAx val="62837120"/>
        <c:crosses val="autoZero"/>
        <c:crossBetween val="midCat"/>
      </c:valAx>
      <c:valAx>
        <c:axId val="62837120"/>
        <c:scaling>
          <c:orientation val="minMax"/>
          <c:min val="0"/>
        </c:scaling>
        <c:delete val="0"/>
        <c:axPos val="l"/>
        <c:majorGridlines/>
        <c:title>
          <c:tx>
            <c:rich>
              <a:bodyPr rot="-5400000" vert="horz"/>
              <a:lstStyle/>
              <a:p>
                <a:pPr>
                  <a:defRPr sz="1050"/>
                </a:pPr>
                <a:r>
                  <a:rPr lang="en-US" sz="1050"/>
                  <a:t>ET, </a:t>
                </a:r>
                <a:r>
                  <a:rPr lang="en-US" sz="1050" i="1"/>
                  <a:t>I</a:t>
                </a:r>
                <a:r>
                  <a:rPr lang="en-US" sz="1050" i="1" baseline="-25000"/>
                  <a:t>R</a:t>
                </a:r>
                <a:r>
                  <a:rPr lang="en-US" sz="1050"/>
                  <a:t>, </a:t>
                </a:r>
                <a:r>
                  <a:rPr lang="en-US" sz="1050" i="1"/>
                  <a:t>I</a:t>
                </a:r>
                <a:r>
                  <a:rPr lang="en-US" sz="1050" i="1" baseline="-25000"/>
                  <a:t>S</a:t>
                </a:r>
                <a:r>
                  <a:rPr lang="en-US" sz="1050"/>
                  <a:t>, </a:t>
                </a:r>
                <a:r>
                  <a:rPr lang="en-US" sz="1050" i="1"/>
                  <a:t>Re</a:t>
                </a:r>
                <a:r>
                  <a:rPr lang="en-US" sz="1050"/>
                  <a:t>, </a:t>
                </a:r>
                <a:r>
                  <a:rPr lang="en-US" sz="1050" i="1"/>
                  <a:t>Se</a:t>
                </a:r>
                <a:r>
                  <a:rPr lang="en-US" sz="1050"/>
                  <a:t>, ETm (mm)</a:t>
                </a:r>
              </a:p>
            </c:rich>
          </c:tx>
          <c:overlay val="0"/>
        </c:title>
        <c:numFmt formatCode="0" sourceLinked="0"/>
        <c:majorTickMark val="out"/>
        <c:minorTickMark val="none"/>
        <c:tickLblPos val="nextTo"/>
        <c:crossAx val="62810368"/>
        <c:crosses val="autoZero"/>
        <c:crossBetween val="midCat"/>
      </c:valAx>
      <c:spPr>
        <a:ln>
          <a:solidFill>
            <a:schemeClr val="tx1"/>
          </a:solidFill>
        </a:ln>
      </c:spPr>
    </c:plotArea>
    <c:legend>
      <c:legendPos val="r"/>
      <c:layout>
        <c:manualLayout>
          <c:xMode val="edge"/>
          <c:yMode val="edge"/>
          <c:x val="0.15870745664988598"/>
          <c:y val="5.7696690352730298E-2"/>
          <c:w val="0.27011836612345463"/>
          <c:h val="0.2581198386787017"/>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1"/>
          <c:order val="0"/>
          <c:tx>
            <c:v>ET</c:v>
          </c:tx>
          <c:marker>
            <c:symbol val="none"/>
          </c:marker>
          <c:xVal>
            <c:numRef>
              <c:f>IrrReq!$B$46:$B$62</c:f>
              <c:numCache>
                <c:formatCode>0</c:formatCode>
                <c:ptCount val="17"/>
                <c:pt idx="0">
                  <c:v>630</c:v>
                </c:pt>
                <c:pt idx="1">
                  <c:v>598.5</c:v>
                </c:pt>
                <c:pt idx="2">
                  <c:v>567</c:v>
                </c:pt>
                <c:pt idx="3">
                  <c:v>535.49999999999989</c:v>
                </c:pt>
                <c:pt idx="4">
                  <c:v>503.99999999999989</c:v>
                </c:pt>
                <c:pt idx="5">
                  <c:v>472.49999999999989</c:v>
                </c:pt>
                <c:pt idx="6">
                  <c:v>440.99999999999983</c:v>
                </c:pt>
                <c:pt idx="7">
                  <c:v>409.49999999999983</c:v>
                </c:pt>
                <c:pt idx="8">
                  <c:v>377.99999999999977</c:v>
                </c:pt>
                <c:pt idx="9">
                  <c:v>346.49999999999977</c:v>
                </c:pt>
                <c:pt idx="10">
                  <c:v>314.99999999999977</c:v>
                </c:pt>
                <c:pt idx="11">
                  <c:v>283.49999999999977</c:v>
                </c:pt>
                <c:pt idx="12">
                  <c:v>251.99999999999977</c:v>
                </c:pt>
                <c:pt idx="13">
                  <c:v>220.49999999999977</c:v>
                </c:pt>
                <c:pt idx="14">
                  <c:v>188.99999999999977</c:v>
                </c:pt>
                <c:pt idx="15">
                  <c:v>157.4999999999998</c:v>
                </c:pt>
                <c:pt idx="16">
                  <c:v>125.9999999999998</c:v>
                </c:pt>
              </c:numCache>
            </c:numRef>
          </c:xVal>
          <c:yVal>
            <c:numRef>
              <c:f>IrrReq!$C$46:$C$62</c:f>
              <c:numCache>
                <c:formatCode>0.00</c:formatCode>
                <c:ptCount val="17"/>
                <c:pt idx="0">
                  <c:v>1.0000000000000004</c:v>
                </c:pt>
                <c:pt idx="1">
                  <c:v>0.98491928571428566</c:v>
                </c:pt>
                <c:pt idx="2">
                  <c:v>0.95528857142857238</c:v>
                </c:pt>
                <c:pt idx="3">
                  <c:v>0.91110785714285747</c:v>
                </c:pt>
                <c:pt idx="4">
                  <c:v>0.85237714285714317</c:v>
                </c:pt>
                <c:pt idx="5">
                  <c:v>0.77909642857142858</c:v>
                </c:pt>
                <c:pt idx="6">
                  <c:v>0.69126571428571504</c:v>
                </c:pt>
                <c:pt idx="7">
                  <c:v>0.58888499999999988</c:v>
                </c:pt>
                <c:pt idx="8">
                  <c:v>0.47195428571428488</c:v>
                </c:pt>
                <c:pt idx="9">
                  <c:v>0.34047357142857093</c:v>
                </c:pt>
                <c:pt idx="10">
                  <c:v>0.19444285714285625</c:v>
                </c:pt>
                <c:pt idx="11">
                  <c:v>3.3862142857142175E-2</c:v>
                </c:pt>
                <c:pt idx="12">
                  <c:v>-0.14126857142857241</c:v>
                </c:pt>
                <c:pt idx="13">
                  <c:v>-0.33094928571428639</c:v>
                </c:pt>
                <c:pt idx="14">
                  <c:v>-0.53518000000000088</c:v>
                </c:pt>
                <c:pt idx="15">
                  <c:v>-0.75396071428571543</c:v>
                </c:pt>
                <c:pt idx="16">
                  <c:v>-0.9872914285714296</c:v>
                </c:pt>
              </c:numCache>
            </c:numRef>
          </c:yVal>
          <c:smooth val="1"/>
          <c:extLst>
            <c:ext xmlns:c16="http://schemas.microsoft.com/office/drawing/2014/chart" uri="{C3380CC4-5D6E-409C-BE32-E72D297353CC}">
              <c16:uniqueId val="{00000001-2FAD-42CA-A75C-304C1F23464B}"/>
            </c:ext>
          </c:extLst>
        </c:ser>
        <c:ser>
          <c:idx val="0"/>
          <c:order val="1"/>
          <c:tx>
            <c:v>IR</c:v>
          </c:tx>
          <c:marker>
            <c:symbol val="none"/>
          </c:marker>
          <c:xVal>
            <c:numRef>
              <c:f>IrrReq!$H$46:$H$62</c:f>
              <c:numCache>
                <c:formatCode>0</c:formatCode>
                <c:ptCount val="17"/>
                <c:pt idx="0">
                  <c:v>501</c:v>
                </c:pt>
                <c:pt idx="1">
                  <c:v>444.76964285714286</c:v>
                </c:pt>
                <c:pt idx="2">
                  <c:v>390.41428571428565</c:v>
                </c:pt>
                <c:pt idx="3">
                  <c:v>337.93392857142845</c:v>
                </c:pt>
                <c:pt idx="4">
                  <c:v>287.32857142857131</c:v>
                </c:pt>
                <c:pt idx="5">
                  <c:v>238.59821428571408</c:v>
                </c:pt>
                <c:pt idx="6">
                  <c:v>191.74285714285688</c:v>
                </c:pt>
                <c:pt idx="7">
                  <c:v>146.76249999999976</c:v>
                </c:pt>
                <c:pt idx="8">
                  <c:v>103.65714285714259</c:v>
                </c:pt>
                <c:pt idx="9">
                  <c:v>62.42678571428543</c:v>
                </c:pt>
                <c:pt idx="10">
                  <c:v>23.071428571428299</c:v>
                </c:pt>
                <c:pt idx="11">
                  <c:v>-10.808928571428794</c:v>
                </c:pt>
                <c:pt idx="12">
                  <c:v>-43.614285714285955</c:v>
                </c:pt>
                <c:pt idx="13">
                  <c:v>-75.344642857143043</c:v>
                </c:pt>
                <c:pt idx="14">
                  <c:v>-106.0000000000002</c:v>
                </c:pt>
                <c:pt idx="15">
                  <c:v>-137.5000000000002</c:v>
                </c:pt>
                <c:pt idx="16">
                  <c:v>-169.0000000000002</c:v>
                </c:pt>
              </c:numCache>
            </c:numRef>
          </c:xVal>
          <c:yVal>
            <c:numRef>
              <c:f>IrrReq!$C$46:$C$62</c:f>
              <c:numCache>
                <c:formatCode>0.00</c:formatCode>
                <c:ptCount val="17"/>
                <c:pt idx="0">
                  <c:v>1.0000000000000004</c:v>
                </c:pt>
                <c:pt idx="1">
                  <c:v>0.98491928571428566</c:v>
                </c:pt>
                <c:pt idx="2">
                  <c:v>0.95528857142857238</c:v>
                </c:pt>
                <c:pt idx="3">
                  <c:v>0.91110785714285747</c:v>
                </c:pt>
                <c:pt idx="4">
                  <c:v>0.85237714285714317</c:v>
                </c:pt>
                <c:pt idx="5">
                  <c:v>0.77909642857142858</c:v>
                </c:pt>
                <c:pt idx="6">
                  <c:v>0.69126571428571504</c:v>
                </c:pt>
                <c:pt idx="7">
                  <c:v>0.58888499999999988</c:v>
                </c:pt>
                <c:pt idx="8">
                  <c:v>0.47195428571428488</c:v>
                </c:pt>
                <c:pt idx="9">
                  <c:v>0.34047357142857093</c:v>
                </c:pt>
                <c:pt idx="10">
                  <c:v>0.19444285714285625</c:v>
                </c:pt>
                <c:pt idx="11">
                  <c:v>3.3862142857142175E-2</c:v>
                </c:pt>
                <c:pt idx="12">
                  <c:v>-0.14126857142857241</c:v>
                </c:pt>
                <c:pt idx="13">
                  <c:v>-0.33094928571428639</c:v>
                </c:pt>
                <c:pt idx="14">
                  <c:v>-0.53518000000000088</c:v>
                </c:pt>
                <c:pt idx="15">
                  <c:v>-0.75396071428571543</c:v>
                </c:pt>
                <c:pt idx="16">
                  <c:v>-0.9872914285714296</c:v>
                </c:pt>
              </c:numCache>
            </c:numRef>
          </c:yVal>
          <c:smooth val="1"/>
          <c:extLst>
            <c:ext xmlns:c16="http://schemas.microsoft.com/office/drawing/2014/chart" uri="{C3380CC4-5D6E-409C-BE32-E72D297353CC}">
              <c16:uniqueId val="{00000002-2FAD-42CA-A75C-304C1F23464B}"/>
            </c:ext>
          </c:extLst>
        </c:ser>
        <c:ser>
          <c:idx val="2"/>
          <c:order val="2"/>
          <c:tx>
            <c:v>IS</c:v>
          </c:tx>
          <c:marker>
            <c:symbol val="none"/>
          </c:marker>
          <c:xVal>
            <c:numRef>
              <c:f>IrrReq!$J$46:$J$62</c:f>
              <c:numCache>
                <c:formatCode>0</c:formatCode>
                <c:ptCount val="17"/>
                <c:pt idx="0">
                  <c:v>835.00000000000023</c:v>
                </c:pt>
                <c:pt idx="1">
                  <c:v>689.75630019385221</c:v>
                </c:pt>
                <c:pt idx="2">
                  <c:v>568.17047817047808</c:v>
                </c:pt>
                <c:pt idx="3">
                  <c:v>464.85630066322756</c:v>
                </c:pt>
                <c:pt idx="4">
                  <c:v>375.94392523364468</c:v>
                </c:pt>
                <c:pt idx="5">
                  <c:v>298.58100558659191</c:v>
                </c:pt>
                <c:pt idx="6">
                  <c:v>230.61855670103057</c:v>
                </c:pt>
                <c:pt idx="7">
                  <c:v>170.40638606676313</c:v>
                </c:pt>
                <c:pt idx="8">
                  <c:v>116.65594855305434</c:v>
                </c:pt>
                <c:pt idx="9">
                  <c:v>68.34604105571816</c:v>
                </c:pt>
                <c:pt idx="10">
                  <c:v>24.656488549618025</c:v>
                </c:pt>
                <c:pt idx="11">
                  <c:v>-11.311904316950335</c:v>
                </c:pt>
                <c:pt idx="12">
                  <c:v>-44.831130690161771</c:v>
                </c:pt>
                <c:pt idx="13">
                  <c:v>-76.284577834026592</c:v>
                </c:pt>
                <c:pt idx="14">
                  <c:v>-106.0000000000002</c:v>
                </c:pt>
                <c:pt idx="15">
                  <c:v>-137.5000000000002</c:v>
                </c:pt>
                <c:pt idx="16">
                  <c:v>-169.0000000000002</c:v>
                </c:pt>
              </c:numCache>
            </c:numRef>
          </c:xVal>
          <c:yVal>
            <c:numRef>
              <c:f>IrrReq!$C$46:$C$62</c:f>
              <c:numCache>
                <c:formatCode>0.00</c:formatCode>
                <c:ptCount val="17"/>
                <c:pt idx="0">
                  <c:v>1.0000000000000004</c:v>
                </c:pt>
                <c:pt idx="1">
                  <c:v>0.98491928571428566</c:v>
                </c:pt>
                <c:pt idx="2">
                  <c:v>0.95528857142857238</c:v>
                </c:pt>
                <c:pt idx="3">
                  <c:v>0.91110785714285747</c:v>
                </c:pt>
                <c:pt idx="4">
                  <c:v>0.85237714285714317</c:v>
                </c:pt>
                <c:pt idx="5">
                  <c:v>0.77909642857142858</c:v>
                </c:pt>
                <c:pt idx="6">
                  <c:v>0.69126571428571504</c:v>
                </c:pt>
                <c:pt idx="7">
                  <c:v>0.58888499999999988</c:v>
                </c:pt>
                <c:pt idx="8">
                  <c:v>0.47195428571428488</c:v>
                </c:pt>
                <c:pt idx="9">
                  <c:v>0.34047357142857093</c:v>
                </c:pt>
                <c:pt idx="10">
                  <c:v>0.19444285714285625</c:v>
                </c:pt>
                <c:pt idx="11">
                  <c:v>3.3862142857142175E-2</c:v>
                </c:pt>
                <c:pt idx="12">
                  <c:v>-0.14126857142857241</c:v>
                </c:pt>
                <c:pt idx="13">
                  <c:v>-0.33094928571428639</c:v>
                </c:pt>
                <c:pt idx="14">
                  <c:v>-0.53518000000000088</c:v>
                </c:pt>
                <c:pt idx="15">
                  <c:v>-0.75396071428571543</c:v>
                </c:pt>
                <c:pt idx="16">
                  <c:v>-0.9872914285714296</c:v>
                </c:pt>
              </c:numCache>
            </c:numRef>
          </c:yVal>
          <c:smooth val="1"/>
          <c:extLst>
            <c:ext xmlns:c16="http://schemas.microsoft.com/office/drawing/2014/chart" uri="{C3380CC4-5D6E-409C-BE32-E72D297353CC}">
              <c16:uniqueId val="{00000003-2FAD-42CA-A75C-304C1F23464B}"/>
            </c:ext>
          </c:extLst>
        </c:ser>
        <c:dLbls>
          <c:showLegendKey val="0"/>
          <c:showVal val="0"/>
          <c:showCatName val="0"/>
          <c:showSerName val="0"/>
          <c:showPercent val="0"/>
          <c:showBubbleSize val="0"/>
        </c:dLbls>
        <c:axId val="63097472"/>
        <c:axId val="63107840"/>
      </c:scatterChart>
      <c:valAx>
        <c:axId val="63097472"/>
        <c:scaling>
          <c:orientation val="minMax"/>
          <c:max val="700"/>
          <c:min val="0"/>
        </c:scaling>
        <c:delete val="0"/>
        <c:axPos val="b"/>
        <c:title>
          <c:tx>
            <c:rich>
              <a:bodyPr/>
              <a:lstStyle/>
              <a:p>
                <a:pPr>
                  <a:defRPr sz="1100"/>
                </a:pPr>
                <a:r>
                  <a:rPr lang="en-US" sz="1100" i="1"/>
                  <a:t>ET, I</a:t>
                </a:r>
                <a:r>
                  <a:rPr lang="en-US" sz="1100" i="1" baseline="-25000"/>
                  <a:t>R</a:t>
                </a:r>
                <a:r>
                  <a:rPr lang="en-US" sz="1100" i="1"/>
                  <a:t>, I</a:t>
                </a:r>
                <a:r>
                  <a:rPr lang="en-US" sz="1100" i="1" baseline="-25000"/>
                  <a:t>S</a:t>
                </a:r>
              </a:p>
            </c:rich>
          </c:tx>
          <c:overlay val="0"/>
        </c:title>
        <c:numFmt formatCode="0" sourceLinked="1"/>
        <c:majorTickMark val="out"/>
        <c:minorTickMark val="none"/>
        <c:tickLblPos val="nextTo"/>
        <c:txPr>
          <a:bodyPr/>
          <a:lstStyle/>
          <a:p>
            <a:pPr>
              <a:defRPr sz="1050"/>
            </a:pPr>
            <a:endParaRPr lang="en-US"/>
          </a:p>
        </c:txPr>
        <c:crossAx val="63107840"/>
        <c:crosses val="autoZero"/>
        <c:crossBetween val="midCat"/>
        <c:majorUnit val="100"/>
        <c:minorUnit val="50"/>
      </c:valAx>
      <c:valAx>
        <c:axId val="63107840"/>
        <c:scaling>
          <c:orientation val="minMax"/>
          <c:max val="1"/>
          <c:min val="0"/>
        </c:scaling>
        <c:delete val="0"/>
        <c:axPos val="l"/>
        <c:majorGridlines>
          <c:spPr>
            <a:ln>
              <a:noFill/>
            </a:ln>
          </c:spPr>
        </c:majorGridlines>
        <c:title>
          <c:tx>
            <c:rich>
              <a:bodyPr rot="-5400000" vert="horz"/>
              <a:lstStyle/>
              <a:p>
                <a:pPr>
                  <a:defRPr sz="1100"/>
                </a:pPr>
                <a:r>
                  <a:rPr lang="en-US" sz="1100"/>
                  <a:t>Relative</a:t>
                </a:r>
                <a:r>
                  <a:rPr lang="en-US" sz="1100" baseline="0"/>
                  <a:t> Yield, </a:t>
                </a:r>
                <a:r>
                  <a:rPr lang="en-US" sz="1100" i="1" baseline="0"/>
                  <a:t>Y</a:t>
                </a:r>
                <a:r>
                  <a:rPr lang="en-US" sz="1100" i="1" baseline="-25000"/>
                  <a:t>R</a:t>
                </a:r>
              </a:p>
            </c:rich>
          </c:tx>
          <c:overlay val="0"/>
        </c:title>
        <c:numFmt formatCode="0.0" sourceLinked="0"/>
        <c:majorTickMark val="cross"/>
        <c:minorTickMark val="cross"/>
        <c:tickLblPos val="nextTo"/>
        <c:txPr>
          <a:bodyPr/>
          <a:lstStyle/>
          <a:p>
            <a:pPr>
              <a:defRPr sz="1050"/>
            </a:pPr>
            <a:endParaRPr lang="en-US"/>
          </a:p>
        </c:txPr>
        <c:crossAx val="63097472"/>
        <c:crosses val="autoZero"/>
        <c:crossBetween val="midCat"/>
        <c:majorUnit val="0.2"/>
        <c:minorUnit val="0.1"/>
      </c:valAx>
      <c:spPr>
        <a:ln>
          <a:solidFill>
            <a:schemeClr val="tx1"/>
          </a:solidFill>
        </a:ln>
      </c:spPr>
    </c:plotArea>
    <c:legend>
      <c:legendPos val="r"/>
      <c:layout>
        <c:manualLayout>
          <c:xMode val="edge"/>
          <c:yMode val="edge"/>
          <c:x val="0.76183574879227056"/>
          <c:y val="0.39531496062992127"/>
          <c:w val="0.14093423104720607"/>
          <c:h val="0.19855448624477495"/>
        </c:manualLayout>
      </c:layout>
      <c:overlay val="0"/>
      <c:spPr>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95250</xdr:colOff>
      <xdr:row>0</xdr:row>
      <xdr:rowOff>109537</xdr:rowOff>
    </xdr:from>
    <xdr:to>
      <xdr:col>11</xdr:col>
      <xdr:colOff>381000</xdr:colOff>
      <xdr:row>14</xdr:row>
      <xdr:rowOff>185737</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29</xdr:row>
      <xdr:rowOff>133350</xdr:rowOff>
    </xdr:from>
    <xdr:to>
      <xdr:col>11</xdr:col>
      <xdr:colOff>400050</xdr:colOff>
      <xdr:row>44</xdr:row>
      <xdr:rowOff>95250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19050</xdr:rowOff>
    </xdr:from>
    <xdr:to>
      <xdr:col>11</xdr:col>
      <xdr:colOff>390525</xdr:colOff>
      <xdr:row>29</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2</xdr:row>
      <xdr:rowOff>47625</xdr:rowOff>
    </xdr:from>
    <xdr:to>
      <xdr:col>19</xdr:col>
      <xdr:colOff>285750</xdr:colOff>
      <xdr:row>16</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26</xdr:row>
      <xdr:rowOff>4762</xdr:rowOff>
    </xdr:from>
    <xdr:to>
      <xdr:col>14</xdr:col>
      <xdr:colOff>76200</xdr:colOff>
      <xdr:row>37</xdr:row>
      <xdr:rowOff>142875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xdr:row>
      <xdr:rowOff>185737</xdr:rowOff>
    </xdr:from>
    <xdr:to>
      <xdr:col>14</xdr:col>
      <xdr:colOff>66675</xdr:colOff>
      <xdr:row>13</xdr:row>
      <xdr:rowOff>171450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47624</xdr:colOff>
      <xdr:row>14</xdr:row>
      <xdr:rowOff>4763</xdr:rowOff>
    </xdr:from>
    <xdr:to>
      <xdr:col>14</xdr:col>
      <xdr:colOff>104774</xdr:colOff>
      <xdr:row>25</xdr:row>
      <xdr:rowOff>152401</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38</xdr:row>
      <xdr:rowOff>38100</xdr:rowOff>
    </xdr:from>
    <xdr:to>
      <xdr:col>18</xdr:col>
      <xdr:colOff>390525</xdr:colOff>
      <xdr:row>53</xdr:row>
      <xdr:rowOff>152400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123825</xdr:colOff>
      <xdr:row>54</xdr:row>
      <xdr:rowOff>9525</xdr:rowOff>
    </xdr:from>
    <xdr:to>
      <xdr:col>18</xdr:col>
      <xdr:colOff>400050</xdr:colOff>
      <xdr:row>70</xdr:row>
      <xdr:rowOff>9525</xdr:rowOff>
    </xdr:to>
    <xdr:graphicFrame macro="">
      <xdr:nvGraphicFramePr>
        <xdr:cNvPr id="6" name="Chart 5">
          <a:extLst>
            <a:ext uri="{FF2B5EF4-FFF2-40B4-BE49-F238E27FC236}">
              <a16:creationId xmlns:a16="http://schemas.microsoft.com/office/drawing/2014/main" id="{59F79A93-25B5-4B18-AFE7-D4152D1EA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42862</xdr:colOff>
      <xdr:row>26</xdr:row>
      <xdr:rowOff>28575</xdr:rowOff>
    </xdr:from>
    <xdr:to>
      <xdr:col>16</xdr:col>
      <xdr:colOff>285750</xdr:colOff>
      <xdr:row>47</xdr:row>
      <xdr:rowOff>152400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161925</xdr:colOff>
      <xdr:row>71</xdr:row>
      <xdr:rowOff>0</xdr:rowOff>
    </xdr:from>
    <xdr:to>
      <xdr:col>13</xdr:col>
      <xdr:colOff>276225</xdr:colOff>
      <xdr:row>91</xdr:row>
      <xdr:rowOff>9525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42862</xdr:colOff>
      <xdr:row>26</xdr:row>
      <xdr:rowOff>28575</xdr:rowOff>
    </xdr:from>
    <xdr:to>
      <xdr:col>16</xdr:col>
      <xdr:colOff>285750</xdr:colOff>
      <xdr:row>47</xdr:row>
      <xdr:rowOff>152400</xdr:rowOff>
    </xdr:to>
    <xdr:graphicFrame macro="">
      <xdr:nvGraphicFramePr>
        <xdr:cNvPr id="2" name="Chart 1">
          <a:extLst>
            <a:ext uri="{FF2B5EF4-FFF2-40B4-BE49-F238E27FC236}">
              <a16:creationId xmlns:a16="http://schemas.microsoft.com/office/drawing/2014/main" id="{318AFC16-70C5-438A-9176-A5A4B1E8B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142874</xdr:colOff>
      <xdr:row>9</xdr:row>
      <xdr:rowOff>114299</xdr:rowOff>
    </xdr:from>
    <xdr:to>
      <xdr:col>17</xdr:col>
      <xdr:colOff>190500</xdr:colOff>
      <xdr:row>31</xdr:row>
      <xdr:rowOff>95249</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200025</xdr:colOff>
      <xdr:row>39</xdr:row>
      <xdr:rowOff>95250</xdr:rowOff>
    </xdr:from>
    <xdr:to>
      <xdr:col>16</xdr:col>
      <xdr:colOff>209550</xdr:colOff>
      <xdr:row>59</xdr:row>
      <xdr:rowOff>76200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34"/>
  <sheetViews>
    <sheetView tabSelected="1" workbookViewId="0">
      <selection activeCell="A8" sqref="A8"/>
    </sheetView>
  </sheetViews>
  <sheetFormatPr defaultRowHeight="15" x14ac:dyDescent="0.25"/>
  <cols>
    <col min="1" max="1" width="125.28515625" customWidth="1"/>
  </cols>
  <sheetData>
    <row r="1" spans="1:1" ht="15.75" x14ac:dyDescent="0.25">
      <c r="A1" s="79" t="s">
        <v>134</v>
      </c>
    </row>
    <row r="2" spans="1:1" x14ac:dyDescent="0.25">
      <c r="A2" t="s">
        <v>135</v>
      </c>
    </row>
    <row r="4" spans="1:1" x14ac:dyDescent="0.25">
      <c r="A4" s="2" t="s">
        <v>218</v>
      </c>
    </row>
    <row r="5" spans="1:1" ht="30" x14ac:dyDescent="0.25">
      <c r="A5" s="80" t="s">
        <v>219</v>
      </c>
    </row>
    <row r="7" spans="1:1" x14ac:dyDescent="0.25">
      <c r="A7" s="2" t="s">
        <v>136</v>
      </c>
    </row>
    <row r="8" spans="1:1" ht="45" x14ac:dyDescent="0.25">
      <c r="A8" s="80" t="s">
        <v>220</v>
      </c>
    </row>
    <row r="9" spans="1:1" x14ac:dyDescent="0.25">
      <c r="A9" s="2"/>
    </row>
    <row r="10" spans="1:1" x14ac:dyDescent="0.25">
      <c r="A10" s="61" t="s">
        <v>137</v>
      </c>
    </row>
    <row r="11" spans="1:1" ht="100.5" customHeight="1" x14ac:dyDescent="0.25">
      <c r="A11" s="22" t="s">
        <v>156</v>
      </c>
    </row>
    <row r="12" spans="1:1" ht="60.75" customHeight="1" x14ac:dyDescent="0.25">
      <c r="A12" s="22" t="s">
        <v>157</v>
      </c>
    </row>
    <row r="13" spans="1:1" x14ac:dyDescent="0.25">
      <c r="A13" s="22"/>
    </row>
    <row r="14" spans="1:1" x14ac:dyDescent="0.25">
      <c r="A14" s="62" t="s">
        <v>173</v>
      </c>
    </row>
    <row r="15" spans="1:1" ht="93.75" customHeight="1" x14ac:dyDescent="0.25">
      <c r="A15" s="34" t="s">
        <v>161</v>
      </c>
    </row>
    <row r="16" spans="1:1" ht="51.75" customHeight="1" x14ac:dyDescent="0.25">
      <c r="A16" s="34" t="s">
        <v>163</v>
      </c>
    </row>
    <row r="17" spans="1:1" ht="81" x14ac:dyDescent="0.25">
      <c r="A17" s="34" t="s">
        <v>164</v>
      </c>
    </row>
    <row r="18" spans="1:1" ht="48" x14ac:dyDescent="0.25">
      <c r="A18" s="34" t="s">
        <v>162</v>
      </c>
    </row>
    <row r="19" spans="1:1" ht="66" x14ac:dyDescent="0.25">
      <c r="A19" s="34" t="s">
        <v>221</v>
      </c>
    </row>
    <row r="20" spans="1:1" ht="54" x14ac:dyDescent="0.25">
      <c r="A20" s="34" t="s">
        <v>174</v>
      </c>
    </row>
    <row r="21" spans="1:1" ht="77.25" customHeight="1" x14ac:dyDescent="0.25">
      <c r="A21" s="34" t="s">
        <v>88</v>
      </c>
    </row>
    <row r="22" spans="1:1" x14ac:dyDescent="0.25">
      <c r="A22" s="34"/>
    </row>
    <row r="23" spans="1:1" x14ac:dyDescent="0.25">
      <c r="A23" s="61" t="s">
        <v>208</v>
      </c>
    </row>
    <row r="24" spans="1:1" ht="93.75" customHeight="1" x14ac:dyDescent="0.25">
      <c r="A24" s="34" t="s">
        <v>211</v>
      </c>
    </row>
    <row r="25" spans="1:1" ht="33" x14ac:dyDescent="0.25">
      <c r="A25" s="34" t="s">
        <v>210</v>
      </c>
    </row>
    <row r="26" spans="1:1" ht="84" customHeight="1" x14ac:dyDescent="0.35">
      <c r="A26" s="22" t="s">
        <v>222</v>
      </c>
    </row>
    <row r="27" spans="1:1" ht="17.25" customHeight="1" x14ac:dyDescent="0.25">
      <c r="A27" s="22"/>
    </row>
    <row r="28" spans="1:1" x14ac:dyDescent="0.25">
      <c r="A28" s="61" t="s">
        <v>209</v>
      </c>
    </row>
    <row r="29" spans="1:1" ht="82.5" customHeight="1" x14ac:dyDescent="0.25">
      <c r="A29" s="34" t="s">
        <v>212</v>
      </c>
    </row>
    <row r="30" spans="1:1" ht="80.25" customHeight="1" x14ac:dyDescent="0.25">
      <c r="A30" s="34" t="s">
        <v>213</v>
      </c>
    </row>
    <row r="31" spans="1:1" x14ac:dyDescent="0.25">
      <c r="A31" s="22"/>
    </row>
    <row r="32" spans="1:1" x14ac:dyDescent="0.25">
      <c r="A32" s="61" t="s">
        <v>217</v>
      </c>
    </row>
    <row r="33" spans="1:1" ht="66" customHeight="1" x14ac:dyDescent="0.35">
      <c r="A33" s="22" t="s">
        <v>223</v>
      </c>
    </row>
    <row r="34" spans="1:1" ht="33" x14ac:dyDescent="0.25">
      <c r="A34" s="22" t="s">
        <v>214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8"/>
  <sheetViews>
    <sheetView workbookViewId="0">
      <selection activeCell="P45" sqref="P45"/>
    </sheetView>
  </sheetViews>
  <sheetFormatPr defaultRowHeight="15" x14ac:dyDescent="0.25"/>
  <cols>
    <col min="1" max="1" width="10.140625" customWidth="1"/>
  </cols>
  <sheetData>
    <row r="1" spans="1:14" x14ac:dyDescent="0.25">
      <c r="A1" s="2" t="s">
        <v>0</v>
      </c>
    </row>
    <row r="2" spans="1:14" ht="18" x14ac:dyDescent="0.35">
      <c r="A2" t="s">
        <v>142</v>
      </c>
      <c r="N2" s="2" t="s">
        <v>155</v>
      </c>
    </row>
    <row r="3" spans="1:14" ht="18.75" x14ac:dyDescent="0.35">
      <c r="A3" t="s">
        <v>138</v>
      </c>
      <c r="C3" t="s">
        <v>147</v>
      </c>
    </row>
    <row r="4" spans="1:14" ht="18" x14ac:dyDescent="0.35">
      <c r="A4" t="s">
        <v>139</v>
      </c>
    </row>
    <row r="5" spans="1:14" ht="18" x14ac:dyDescent="0.35">
      <c r="A5" t="s">
        <v>143</v>
      </c>
      <c r="J5">
        <v>0</v>
      </c>
      <c r="K5">
        <v>0</v>
      </c>
    </row>
    <row r="6" spans="1:14" ht="18" x14ac:dyDescent="0.35">
      <c r="A6" s="1" t="s">
        <v>53</v>
      </c>
      <c r="B6" s="40">
        <v>0.44</v>
      </c>
      <c r="C6" s="35">
        <v>0.44</v>
      </c>
      <c r="J6">
        <v>1</v>
      </c>
      <c r="K6">
        <v>1</v>
      </c>
    </row>
    <row r="7" spans="1:14" ht="18" x14ac:dyDescent="0.35">
      <c r="A7" s="1" t="s">
        <v>54</v>
      </c>
      <c r="B7" s="40">
        <v>0</v>
      </c>
      <c r="C7" s="54">
        <v>0</v>
      </c>
      <c r="D7" s="16"/>
    </row>
    <row r="8" spans="1:14" x14ac:dyDescent="0.25">
      <c r="A8" s="1" t="s">
        <v>51</v>
      </c>
      <c r="B8" s="40">
        <v>-2.91</v>
      </c>
      <c r="C8" s="81">
        <v>-2.91</v>
      </c>
      <c r="D8" s="16"/>
    </row>
    <row r="9" spans="1:14" ht="18.75" x14ac:dyDescent="0.35">
      <c r="A9" s="1" t="s">
        <v>49</v>
      </c>
      <c r="B9" s="7">
        <f>(B7-B6+B8*B6-B8*B6^2)/(1-B6)</f>
        <v>-2.0661142857142853</v>
      </c>
      <c r="C9" s="17" t="s">
        <v>141</v>
      </c>
      <c r="D9" s="18"/>
      <c r="E9" s="19"/>
    </row>
    <row r="10" spans="1:14" ht="18.75" x14ac:dyDescent="0.35">
      <c r="A10" s="1" t="s">
        <v>50</v>
      </c>
      <c r="B10" s="7">
        <f>(B7-1+B8-B8*B6^2)/(B6-1)</f>
        <v>5.9761142857142859</v>
      </c>
      <c r="C10" s="5" t="s">
        <v>140</v>
      </c>
      <c r="D10" s="20"/>
      <c r="E10" s="21"/>
    </row>
    <row r="12" spans="1:14" ht="18" x14ac:dyDescent="0.35">
      <c r="A12" s="3" t="s">
        <v>5</v>
      </c>
      <c r="B12" s="11" t="s">
        <v>144</v>
      </c>
      <c r="C12" s="11" t="s">
        <v>146</v>
      </c>
      <c r="D12" s="6" t="s">
        <v>145</v>
      </c>
      <c r="M12" s="15"/>
    </row>
    <row r="13" spans="1:14" x14ac:dyDescent="0.25">
      <c r="A13" s="4">
        <v>0.1</v>
      </c>
      <c r="B13" s="12">
        <f t="shared" ref="B13:B22" si="0">$B$9+$B$10*A13+$B$8*A13*A13</f>
        <v>-1.4976028571428566</v>
      </c>
      <c r="C13" s="12">
        <f t="shared" ref="C13:C22" si="1">B13/A13</f>
        <v>-14.976028571428564</v>
      </c>
      <c r="D13" s="8">
        <f t="shared" ref="D13:D22" si="2">B$10+2*B$8*A13</f>
        <v>5.3941142857142861</v>
      </c>
      <c r="M13" s="12"/>
    </row>
    <row r="14" spans="1:14" x14ac:dyDescent="0.25">
      <c r="A14" s="4">
        <v>0.2</v>
      </c>
      <c r="B14" s="12">
        <f t="shared" si="0"/>
        <v>-0.98729142857142826</v>
      </c>
      <c r="C14" s="12">
        <f t="shared" si="1"/>
        <v>-4.9364571428571411</v>
      </c>
      <c r="D14" s="8">
        <f t="shared" si="2"/>
        <v>4.8121142857142853</v>
      </c>
      <c r="M14" s="12"/>
    </row>
    <row r="15" spans="1:14" x14ac:dyDescent="0.25">
      <c r="A15" s="4">
        <v>0.3</v>
      </c>
      <c r="B15" s="12">
        <f t="shared" si="0"/>
        <v>-0.53517999999999954</v>
      </c>
      <c r="C15" s="12">
        <f t="shared" si="1"/>
        <v>-1.7839333333333318</v>
      </c>
      <c r="D15" s="8">
        <f t="shared" si="2"/>
        <v>4.2301142857142864</v>
      </c>
      <c r="M15" s="12"/>
    </row>
    <row r="16" spans="1:14" x14ac:dyDescent="0.25">
      <c r="A16" s="4">
        <v>0.4</v>
      </c>
      <c r="B16" s="12">
        <f t="shared" si="0"/>
        <v>-0.14126857142857113</v>
      </c>
      <c r="C16" s="12">
        <f t="shared" si="1"/>
        <v>-0.3531714285714278</v>
      </c>
      <c r="D16" s="8">
        <f t="shared" si="2"/>
        <v>3.6481142857142856</v>
      </c>
      <c r="M16" s="12"/>
    </row>
    <row r="17" spans="1:19" x14ac:dyDescent="0.25">
      <c r="A17" s="4">
        <v>0.5</v>
      </c>
      <c r="B17" s="12">
        <f t="shared" si="0"/>
        <v>0.19444285714285758</v>
      </c>
      <c r="C17" s="12">
        <f t="shared" si="1"/>
        <v>0.38888571428571517</v>
      </c>
      <c r="D17" s="8">
        <f t="shared" si="2"/>
        <v>3.0661142857142858</v>
      </c>
      <c r="M17" s="12"/>
    </row>
    <row r="18" spans="1:19" ht="18" x14ac:dyDescent="0.35">
      <c r="A18" s="4">
        <v>0.6</v>
      </c>
      <c r="B18" s="12">
        <f t="shared" si="0"/>
        <v>0.47195428571428644</v>
      </c>
      <c r="C18" s="12">
        <f t="shared" si="1"/>
        <v>0.78659047619047739</v>
      </c>
      <c r="D18" s="8">
        <f t="shared" si="2"/>
        <v>2.4841142857142859</v>
      </c>
      <c r="M18" s="12"/>
      <c r="N18" s="3" t="s">
        <v>58</v>
      </c>
      <c r="O18" s="19">
        <v>1</v>
      </c>
      <c r="P18" s="3" t="s">
        <v>58</v>
      </c>
      <c r="Q18" s="19">
        <v>1</v>
      </c>
      <c r="R18" s="3" t="s">
        <v>58</v>
      </c>
      <c r="S18" s="19">
        <v>1</v>
      </c>
    </row>
    <row r="19" spans="1:19" ht="18" x14ac:dyDescent="0.35">
      <c r="A19" s="4">
        <v>0.7</v>
      </c>
      <c r="B19" s="12">
        <f t="shared" si="0"/>
        <v>0.69126571428571459</v>
      </c>
      <c r="C19" s="12">
        <f t="shared" si="1"/>
        <v>0.98752244897959229</v>
      </c>
      <c r="D19" s="8">
        <f t="shared" si="2"/>
        <v>1.9021142857142861</v>
      </c>
      <c r="M19" s="12"/>
      <c r="N19" s="23" t="s">
        <v>52</v>
      </c>
      <c r="O19" s="36">
        <v>0.3</v>
      </c>
      <c r="P19" s="23" t="s">
        <v>52</v>
      </c>
      <c r="Q19" s="36">
        <v>0.3</v>
      </c>
      <c r="R19" s="23" t="s">
        <v>52</v>
      </c>
      <c r="S19" s="36">
        <v>0.3</v>
      </c>
    </row>
    <row r="20" spans="1:19" x14ac:dyDescent="0.25">
      <c r="A20" s="4">
        <v>0.8</v>
      </c>
      <c r="B20" s="12">
        <f t="shared" si="0"/>
        <v>0.85237714285714294</v>
      </c>
      <c r="C20" s="12">
        <f t="shared" si="1"/>
        <v>1.0654714285714286</v>
      </c>
      <c r="D20" s="8">
        <f t="shared" si="2"/>
        <v>1.3201142857142854</v>
      </c>
      <c r="M20" s="12"/>
      <c r="N20" s="23" t="s">
        <v>51</v>
      </c>
      <c r="O20" s="36">
        <v>0</v>
      </c>
      <c r="P20" s="23" t="s">
        <v>51</v>
      </c>
      <c r="Q20" s="36">
        <v>-1</v>
      </c>
      <c r="R20" s="23" t="s">
        <v>51</v>
      </c>
      <c r="S20" s="36">
        <v>-2</v>
      </c>
    </row>
    <row r="21" spans="1:19" x14ac:dyDescent="0.25">
      <c r="A21" s="4">
        <v>0.9</v>
      </c>
      <c r="B21" s="12">
        <f t="shared" si="0"/>
        <v>0.95528857142857149</v>
      </c>
      <c r="C21" s="12">
        <f t="shared" si="1"/>
        <v>1.0614317460317462</v>
      </c>
      <c r="D21" s="8">
        <f t="shared" si="2"/>
        <v>0.7381142857142855</v>
      </c>
      <c r="M21" s="12"/>
      <c r="N21" s="23" t="s">
        <v>50</v>
      </c>
      <c r="O21" s="8">
        <f>(1-(1-O19^2)*O20)/(1-O19)</f>
        <v>1.4285714285714286</v>
      </c>
      <c r="P21" s="23" t="s">
        <v>50</v>
      </c>
      <c r="Q21" s="8">
        <f>(1-(1-Q19^2)*Q20)/(1-Q19)</f>
        <v>2.7285714285714291</v>
      </c>
      <c r="R21" s="23" t="s">
        <v>50</v>
      </c>
      <c r="S21" s="8">
        <f>(1-(1-S19^2)*S20)/(1-S19)</f>
        <v>4.0285714285714294</v>
      </c>
    </row>
    <row r="22" spans="1:19" x14ac:dyDescent="0.25">
      <c r="A22" s="5">
        <v>1</v>
      </c>
      <c r="B22" s="13">
        <f t="shared" si="0"/>
        <v>1.0000000000000004</v>
      </c>
      <c r="C22" s="13">
        <f t="shared" si="1"/>
        <v>1.0000000000000004</v>
      </c>
      <c r="D22" s="9">
        <f t="shared" si="2"/>
        <v>0.15611428571428565</v>
      </c>
      <c r="M22" s="12"/>
      <c r="N22" s="23" t="s">
        <v>49</v>
      </c>
      <c r="O22" s="8">
        <f>O19*(O20-1-O20*O19)/(1-O19)</f>
        <v>-0.4285714285714286</v>
      </c>
      <c r="P22" s="23" t="s">
        <v>49</v>
      </c>
      <c r="Q22" s="8">
        <f>Q19*(Q20-1-Q20*Q19)/(1-Q19)</f>
        <v>-0.72857142857142865</v>
      </c>
      <c r="R22" s="23" t="s">
        <v>49</v>
      </c>
      <c r="S22" s="8">
        <f>S19*(S20-1-S20*S19)/(1-S19)</f>
        <v>-1.0285714285714287</v>
      </c>
    </row>
    <row r="23" spans="1:19" x14ac:dyDescent="0.25">
      <c r="N23" s="5"/>
      <c r="O23" s="21" t="s">
        <v>130</v>
      </c>
      <c r="P23" s="5"/>
      <c r="Q23" s="21" t="s">
        <v>131</v>
      </c>
      <c r="R23" s="5"/>
      <c r="S23" s="21" t="s">
        <v>132</v>
      </c>
    </row>
    <row r="24" spans="1:19" ht="18" x14ac:dyDescent="0.35">
      <c r="A24" t="s">
        <v>149</v>
      </c>
      <c r="N24" s="3" t="s">
        <v>2</v>
      </c>
      <c r="O24" s="6" t="s">
        <v>3</v>
      </c>
      <c r="P24" s="3" t="s">
        <v>2</v>
      </c>
      <c r="Q24" s="6" t="s">
        <v>3</v>
      </c>
      <c r="R24" s="3" t="s">
        <v>2</v>
      </c>
      <c r="S24" s="6" t="s">
        <v>3</v>
      </c>
    </row>
    <row r="25" spans="1:19" ht="18" x14ac:dyDescent="0.35">
      <c r="A25" t="s">
        <v>148</v>
      </c>
      <c r="N25" s="4">
        <v>0.1</v>
      </c>
      <c r="O25" s="8">
        <f t="shared" ref="O25:O34" si="3">$O$22+$O$21*N25+$O$20*N25*N25</f>
        <v>-0.2857142857142857</v>
      </c>
      <c r="P25" s="4">
        <v>0.1</v>
      </c>
      <c r="Q25" s="8">
        <f t="shared" ref="Q25:Q34" si="4">$Q$22+$Q$21*P25+$Q$20*P25*P25</f>
        <v>-0.46571428571428575</v>
      </c>
      <c r="R25" s="4">
        <v>0.1</v>
      </c>
      <c r="S25" s="8">
        <f t="shared" ref="S25:S34" si="5">$S$22+$S$21*R25+$S$20*R25*R25</f>
        <v>-0.64571428571428569</v>
      </c>
    </row>
    <row r="26" spans="1:19" ht="18" x14ac:dyDescent="0.35">
      <c r="A26" t="s">
        <v>150</v>
      </c>
      <c r="N26" s="4">
        <v>0.2</v>
      </c>
      <c r="O26" s="8">
        <f t="shared" si="3"/>
        <v>-0.14285714285714285</v>
      </c>
      <c r="P26" s="4">
        <v>0.2</v>
      </c>
      <c r="Q26" s="8">
        <f t="shared" si="4"/>
        <v>-0.22285714285714284</v>
      </c>
      <c r="R26" s="4">
        <v>0.2</v>
      </c>
      <c r="S26" s="8">
        <f t="shared" si="5"/>
        <v>-0.30285714285714277</v>
      </c>
    </row>
    <row r="27" spans="1:19" x14ac:dyDescent="0.25">
      <c r="A27" t="s">
        <v>11</v>
      </c>
      <c r="B27" t="s">
        <v>55</v>
      </c>
      <c r="C27" s="14"/>
      <c r="N27" s="4">
        <v>0.3</v>
      </c>
      <c r="O27" s="8">
        <f t="shared" si="3"/>
        <v>-5.5511151231257827E-17</v>
      </c>
      <c r="P27" s="4">
        <v>0.3</v>
      </c>
      <c r="Q27" s="8">
        <f t="shared" si="4"/>
        <v>0</v>
      </c>
      <c r="R27" s="4">
        <v>0.3</v>
      </c>
      <c r="S27" s="8">
        <f t="shared" si="5"/>
        <v>0</v>
      </c>
    </row>
    <row r="28" spans="1:19" x14ac:dyDescent="0.25">
      <c r="A28" t="s">
        <v>9</v>
      </c>
      <c r="B28" t="s">
        <v>56</v>
      </c>
      <c r="N28" s="4">
        <v>0.4</v>
      </c>
      <c r="O28" s="8">
        <f t="shared" si="3"/>
        <v>0.1428571428571429</v>
      </c>
      <c r="P28" s="4">
        <v>0.4</v>
      </c>
      <c r="Q28" s="8">
        <f t="shared" si="4"/>
        <v>0.20285714285714296</v>
      </c>
      <c r="R28" s="4">
        <v>0.4</v>
      </c>
      <c r="S28" s="8">
        <f t="shared" si="5"/>
        <v>0.26285714285714312</v>
      </c>
    </row>
    <row r="29" spans="1:19" x14ac:dyDescent="0.25">
      <c r="B29" s="1" t="s">
        <v>5</v>
      </c>
      <c r="C29" s="15" t="s">
        <v>3</v>
      </c>
      <c r="D29" s="1" t="s">
        <v>4</v>
      </c>
      <c r="E29" s="1" t="s">
        <v>7</v>
      </c>
      <c r="N29" s="4">
        <v>0.5</v>
      </c>
      <c r="O29" s="8">
        <f t="shared" si="3"/>
        <v>0.2857142857142857</v>
      </c>
      <c r="P29" s="4">
        <v>0.5</v>
      </c>
      <c r="Q29" s="8">
        <f t="shared" si="4"/>
        <v>0.3857142857142859</v>
      </c>
      <c r="R29" s="4">
        <v>0.5</v>
      </c>
      <c r="S29" s="8">
        <f t="shared" si="5"/>
        <v>0.48571428571428599</v>
      </c>
    </row>
    <row r="30" spans="1:19" x14ac:dyDescent="0.25">
      <c r="A30" t="s">
        <v>8</v>
      </c>
      <c r="B30" s="7">
        <f>(-(B10-1)+SQRT((B10-1)^2-4*B8*B9))/(2*B8)</f>
        <v>0.71000490918016634</v>
      </c>
      <c r="C30" s="12">
        <f>$B$9+$B$10*B30+$B$8*B30*B30</f>
        <v>0.71000490918016612</v>
      </c>
      <c r="D30" s="7">
        <f>B$10+2*B$8*B30</f>
        <v>1.8438857142857179</v>
      </c>
      <c r="E30" s="7">
        <f>C30/B30</f>
        <v>0.99999999999999967</v>
      </c>
      <c r="N30" s="4">
        <v>0.6</v>
      </c>
      <c r="O30" s="8">
        <f t="shared" si="3"/>
        <v>0.42857142857142849</v>
      </c>
      <c r="P30" s="4">
        <v>0.6</v>
      </c>
      <c r="Q30" s="8">
        <f t="shared" si="4"/>
        <v>0.54857142857142882</v>
      </c>
      <c r="R30" s="4">
        <v>0.6</v>
      </c>
      <c r="S30" s="8">
        <f t="shared" si="5"/>
        <v>0.66857142857142904</v>
      </c>
    </row>
    <row r="31" spans="1:19" x14ac:dyDescent="0.25">
      <c r="A31" t="s">
        <v>9</v>
      </c>
      <c r="B31" s="7">
        <f>SQRT(B9/B8)</f>
        <v>0.84261789037508972</v>
      </c>
      <c r="C31" s="12">
        <f>$B$9+$B$10*B31+$B$8*B31*B31</f>
        <v>0.90335224064043729</v>
      </c>
      <c r="D31" s="7">
        <f>B$10+2*B$8*B31</f>
        <v>1.0720781637312635</v>
      </c>
      <c r="E31" s="7">
        <f>C31/B31</f>
        <v>1.0720781637312635</v>
      </c>
      <c r="N31" s="4">
        <v>0.7</v>
      </c>
      <c r="O31" s="8">
        <f t="shared" si="3"/>
        <v>0.5714285714285714</v>
      </c>
      <c r="P31" s="14">
        <v>0.7</v>
      </c>
      <c r="Q31" s="8">
        <f t="shared" si="4"/>
        <v>0.6914285714285715</v>
      </c>
      <c r="R31" s="14">
        <v>0.7</v>
      </c>
      <c r="S31" s="8">
        <f t="shared" si="5"/>
        <v>0.81142857142857172</v>
      </c>
    </row>
    <row r="32" spans="1:19" x14ac:dyDescent="0.25">
      <c r="A32" t="s">
        <v>10</v>
      </c>
      <c r="B32">
        <v>1</v>
      </c>
      <c r="C32" s="12">
        <f>$B$9+$B$10*B32+$B$8*B32*B32</f>
        <v>1.0000000000000004</v>
      </c>
      <c r="D32" s="7">
        <f>B$10+2*B$8*B32</f>
        <v>0.15611428571428565</v>
      </c>
      <c r="E32" s="7">
        <f>C32/B32</f>
        <v>1.0000000000000004</v>
      </c>
      <c r="N32" s="4">
        <v>0.8</v>
      </c>
      <c r="O32" s="8">
        <f t="shared" si="3"/>
        <v>0.71428571428571441</v>
      </c>
      <c r="P32" s="4">
        <v>0.8</v>
      </c>
      <c r="Q32" s="8">
        <f t="shared" si="4"/>
        <v>0.8142857142857145</v>
      </c>
      <c r="R32" s="4">
        <v>0.8</v>
      </c>
      <c r="S32" s="8">
        <f t="shared" si="5"/>
        <v>0.91428571428571459</v>
      </c>
    </row>
    <row r="33" spans="1:19" x14ac:dyDescent="0.25">
      <c r="A33" t="s">
        <v>57</v>
      </c>
      <c r="B33" s="10">
        <f>-B6/(1-2*B6+B6*B6)</f>
        <v>-1.403061224489796</v>
      </c>
      <c r="N33" s="4">
        <v>0.9</v>
      </c>
      <c r="O33" s="8">
        <f t="shared" si="3"/>
        <v>0.85714285714285721</v>
      </c>
      <c r="P33" s="4">
        <v>0.9</v>
      </c>
      <c r="Q33" s="8">
        <f t="shared" si="4"/>
        <v>0.9171428571428577</v>
      </c>
      <c r="R33" s="4">
        <v>0.9</v>
      </c>
      <c r="S33" s="8">
        <f t="shared" si="5"/>
        <v>0.97714285714285776</v>
      </c>
    </row>
    <row r="34" spans="1:19" x14ac:dyDescent="0.25">
      <c r="N34" s="5">
        <v>1</v>
      </c>
      <c r="O34" s="9">
        <f t="shared" si="3"/>
        <v>1</v>
      </c>
      <c r="P34" s="5">
        <v>1</v>
      </c>
      <c r="Q34" s="9">
        <f t="shared" si="4"/>
        <v>1.0000000000000004</v>
      </c>
      <c r="R34" s="5">
        <v>1</v>
      </c>
      <c r="S34" s="9">
        <f t="shared" si="5"/>
        <v>1.0000000000000009</v>
      </c>
    </row>
    <row r="35" spans="1:19" ht="18" x14ac:dyDescent="0.35">
      <c r="A35" s="78" t="s">
        <v>154</v>
      </c>
      <c r="B35" s="18"/>
      <c r="C35" s="18"/>
      <c r="D35" s="18"/>
      <c r="E35" s="19"/>
    </row>
    <row r="36" spans="1:19" ht="18.75" x14ac:dyDescent="0.35">
      <c r="A36" s="4" t="s">
        <v>151</v>
      </c>
      <c r="B36" s="14"/>
      <c r="C36" s="14"/>
      <c r="D36" s="14"/>
      <c r="E36" s="82"/>
    </row>
    <row r="37" spans="1:19" ht="18.75" x14ac:dyDescent="0.35">
      <c r="A37" s="4" t="s">
        <v>152</v>
      </c>
      <c r="B37" s="14"/>
      <c r="C37" s="14"/>
      <c r="D37" s="14"/>
      <c r="E37" s="82"/>
    </row>
    <row r="38" spans="1:19" ht="18.75" x14ac:dyDescent="0.35">
      <c r="A38" s="5" t="s">
        <v>153</v>
      </c>
      <c r="B38" s="20"/>
      <c r="C38" s="20"/>
      <c r="D38" s="20"/>
      <c r="E38" s="21"/>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70"/>
  <sheetViews>
    <sheetView topLeftCell="A37" workbookViewId="0">
      <selection activeCell="I73" sqref="I73"/>
    </sheetView>
  </sheetViews>
  <sheetFormatPr defaultRowHeight="15" x14ac:dyDescent="0.25"/>
  <cols>
    <col min="1" max="1" width="10.140625" customWidth="1"/>
    <col min="4" max="4" width="8" customWidth="1"/>
    <col min="5" max="5" width="8.140625" customWidth="1"/>
    <col min="6" max="7" width="6.42578125" customWidth="1"/>
    <col min="8" max="8" width="6.7109375" customWidth="1"/>
    <col min="9" max="12" width="7" customWidth="1"/>
    <col min="13" max="14" width="6.85546875" customWidth="1"/>
    <col min="15" max="17" width="7" customWidth="1"/>
    <col min="18" max="20" width="8" customWidth="1"/>
  </cols>
  <sheetData>
    <row r="1" spans="1:15" ht="17.25" x14ac:dyDescent="0.25">
      <c r="A1" s="2" t="s">
        <v>84</v>
      </c>
      <c r="G1" s="28" t="s">
        <v>99</v>
      </c>
    </row>
    <row r="3" spans="1:15" x14ac:dyDescent="0.25">
      <c r="A3" s="2" t="s">
        <v>63</v>
      </c>
    </row>
    <row r="4" spans="1:15" x14ac:dyDescent="0.25">
      <c r="A4" t="s">
        <v>1</v>
      </c>
    </row>
    <row r="5" spans="1:15" ht="17.25" x14ac:dyDescent="0.25">
      <c r="A5" t="s">
        <v>159</v>
      </c>
      <c r="D5" t="s">
        <v>14</v>
      </c>
    </row>
    <row r="6" spans="1:15" ht="18" x14ac:dyDescent="0.35">
      <c r="A6" t="s">
        <v>68</v>
      </c>
      <c r="F6" s="15"/>
      <c r="G6" s="15"/>
    </row>
    <row r="7" spans="1:15" ht="18" x14ac:dyDescent="0.35">
      <c r="A7" t="s">
        <v>67</v>
      </c>
      <c r="D7" t="s">
        <v>19</v>
      </c>
      <c r="F7" s="15"/>
      <c r="G7" s="12"/>
    </row>
    <row r="8" spans="1:15" ht="18" x14ac:dyDescent="0.35">
      <c r="A8" s="1" t="s">
        <v>69</v>
      </c>
      <c r="B8" s="40">
        <v>0.6</v>
      </c>
      <c r="D8" s="84">
        <v>0.6</v>
      </c>
      <c r="F8" s="14"/>
      <c r="G8" s="12"/>
    </row>
    <row r="9" spans="1:15" ht="18" x14ac:dyDescent="0.35">
      <c r="A9" s="1" t="s">
        <v>70</v>
      </c>
      <c r="B9" s="40">
        <v>0.3</v>
      </c>
      <c r="D9" s="85">
        <v>0.3</v>
      </c>
      <c r="F9" s="14"/>
      <c r="G9" s="12"/>
    </row>
    <row r="10" spans="1:15" x14ac:dyDescent="0.25">
      <c r="A10" s="1" t="s">
        <v>64</v>
      </c>
      <c r="B10" s="40">
        <v>-1</v>
      </c>
      <c r="D10" s="85">
        <v>-1</v>
      </c>
      <c r="F10" s="14"/>
      <c r="G10" s="12"/>
    </row>
    <row r="11" spans="1:15" ht="18.75" x14ac:dyDescent="0.35">
      <c r="A11" s="1" t="s">
        <v>65</v>
      </c>
      <c r="B11" s="7">
        <f>(B8-1-B10*(1-B9*B9))/(1-B9)</f>
        <v>0.72857142857142865</v>
      </c>
      <c r="C11" s="14" t="s">
        <v>71</v>
      </c>
      <c r="D11" s="14"/>
      <c r="E11" s="14"/>
      <c r="F11" s="14"/>
      <c r="G11" s="12"/>
    </row>
    <row r="12" spans="1:15" ht="18" x14ac:dyDescent="0.35">
      <c r="A12" s="1" t="s">
        <v>66</v>
      </c>
      <c r="B12" s="7">
        <f>B8-B11-B10</f>
        <v>0.87142857142857133</v>
      </c>
      <c r="C12" s="14" t="s">
        <v>72</v>
      </c>
      <c r="D12" s="14"/>
      <c r="E12" s="14"/>
      <c r="F12" s="14"/>
      <c r="G12" s="12"/>
    </row>
    <row r="13" spans="1:15" x14ac:dyDescent="0.25">
      <c r="A13" s="1"/>
      <c r="B13" s="7"/>
      <c r="C13" s="14"/>
      <c r="D13" s="14"/>
      <c r="E13" s="14"/>
      <c r="F13" s="14"/>
      <c r="G13" s="12"/>
    </row>
    <row r="14" spans="1:15" x14ac:dyDescent="0.25">
      <c r="F14" s="14"/>
      <c r="G14" s="12"/>
    </row>
    <row r="15" spans="1:15" x14ac:dyDescent="0.25">
      <c r="A15" s="2" t="s">
        <v>12</v>
      </c>
      <c r="F15" s="14"/>
      <c r="G15" s="12"/>
      <c r="O15" s="15"/>
    </row>
    <row r="16" spans="1:15" x14ac:dyDescent="0.25">
      <c r="A16" t="s">
        <v>1</v>
      </c>
      <c r="F16" s="14"/>
      <c r="G16" s="12"/>
      <c r="O16" s="15"/>
    </row>
    <row r="17" spans="1:15" ht="17.25" x14ac:dyDescent="0.25">
      <c r="A17" t="s">
        <v>158</v>
      </c>
      <c r="F17" s="14"/>
      <c r="G17" s="12"/>
      <c r="O17" s="12"/>
    </row>
    <row r="18" spans="1:15" ht="18" x14ac:dyDescent="0.35">
      <c r="A18" t="s">
        <v>73</v>
      </c>
      <c r="F18" s="14"/>
      <c r="G18" s="12"/>
      <c r="M18" s="12"/>
      <c r="N18" s="12"/>
      <c r="O18" s="12"/>
    </row>
    <row r="19" spans="1:15" x14ac:dyDescent="0.25">
      <c r="A19" t="s">
        <v>79</v>
      </c>
      <c r="D19" t="s">
        <v>19</v>
      </c>
      <c r="F19" s="14"/>
      <c r="G19" s="14"/>
      <c r="M19" s="12"/>
      <c r="N19" s="12"/>
      <c r="O19" s="12"/>
    </row>
    <row r="20" spans="1:15" ht="18" x14ac:dyDescent="0.35">
      <c r="A20" s="1" t="s">
        <v>74</v>
      </c>
      <c r="B20" s="85">
        <v>0</v>
      </c>
      <c r="D20" s="84">
        <v>0</v>
      </c>
      <c r="F20" s="14"/>
      <c r="G20" s="14"/>
    </row>
    <row r="21" spans="1:15" ht="18" x14ac:dyDescent="0.35">
      <c r="A21" s="1" t="s">
        <v>75</v>
      </c>
      <c r="B21" s="40">
        <v>0.5</v>
      </c>
      <c r="D21" s="85">
        <v>0.5</v>
      </c>
      <c r="F21" s="14"/>
      <c r="G21" s="14"/>
    </row>
    <row r="22" spans="1:15" x14ac:dyDescent="0.25">
      <c r="A22" s="1" t="s">
        <v>76</v>
      </c>
      <c r="B22" s="40">
        <v>-2</v>
      </c>
      <c r="D22" s="85">
        <v>-2</v>
      </c>
      <c r="F22" s="14"/>
      <c r="G22" s="14"/>
    </row>
    <row r="23" spans="1:15" ht="18.75" x14ac:dyDescent="0.35">
      <c r="A23" s="1" t="s">
        <v>77</v>
      </c>
      <c r="B23" s="7">
        <f>(B20-1-B22*(1-B21*B21))/(1-B21)</f>
        <v>1</v>
      </c>
      <c r="C23" s="14" t="s">
        <v>81</v>
      </c>
      <c r="D23" s="14"/>
      <c r="E23" s="14"/>
      <c r="F23" s="15"/>
      <c r="G23" s="15"/>
    </row>
    <row r="24" spans="1:15" x14ac:dyDescent="0.25">
      <c r="A24" s="1" t="s">
        <v>78</v>
      </c>
      <c r="B24" s="7">
        <f>B20-B23-B22</f>
        <v>1</v>
      </c>
      <c r="C24" s="14" t="s">
        <v>80</v>
      </c>
      <c r="D24" s="14"/>
      <c r="E24" s="14"/>
      <c r="F24" s="15"/>
      <c r="G24" s="12"/>
    </row>
    <row r="25" spans="1:15" x14ac:dyDescent="0.25">
      <c r="A25" s="1"/>
      <c r="B25" s="7"/>
      <c r="C25" s="14"/>
      <c r="D25" s="14"/>
      <c r="E25" s="14"/>
      <c r="F25" s="15"/>
      <c r="G25" s="12"/>
    </row>
    <row r="26" spans="1:15" x14ac:dyDescent="0.25">
      <c r="F26" s="14"/>
      <c r="G26" s="12"/>
    </row>
    <row r="27" spans="1:15" x14ac:dyDescent="0.25">
      <c r="A27" s="2" t="s">
        <v>13</v>
      </c>
      <c r="F27" s="14"/>
      <c r="G27" s="12"/>
    </row>
    <row r="28" spans="1:15" x14ac:dyDescent="0.25">
      <c r="A28" t="s">
        <v>1</v>
      </c>
      <c r="F28" s="14"/>
      <c r="G28" s="12"/>
    </row>
    <row r="29" spans="1:15" ht="17.25" x14ac:dyDescent="0.25">
      <c r="A29" t="s">
        <v>160</v>
      </c>
      <c r="F29" s="14"/>
      <c r="G29" s="12"/>
    </row>
    <row r="30" spans="1:15" x14ac:dyDescent="0.25">
      <c r="A30" t="s">
        <v>127</v>
      </c>
      <c r="F30" s="14"/>
      <c r="G30" s="12"/>
    </row>
    <row r="31" spans="1:15" x14ac:dyDescent="0.25">
      <c r="A31" t="s">
        <v>48</v>
      </c>
      <c r="D31" t="s">
        <v>19</v>
      </c>
      <c r="F31" s="14"/>
      <c r="G31" s="12"/>
    </row>
    <row r="32" spans="1:15" x14ac:dyDescent="0.25">
      <c r="A32" s="1" t="s">
        <v>47</v>
      </c>
      <c r="B32" s="40">
        <v>0.6</v>
      </c>
      <c r="D32" s="84">
        <v>0.6</v>
      </c>
      <c r="F32" s="14"/>
      <c r="G32" s="12"/>
    </row>
    <row r="33" spans="1:14" x14ac:dyDescent="0.25">
      <c r="A33" s="1" t="s">
        <v>128</v>
      </c>
      <c r="B33" s="40">
        <v>0.3</v>
      </c>
      <c r="D33" s="85">
        <v>0.3</v>
      </c>
      <c r="F33" s="14"/>
      <c r="G33" s="12"/>
    </row>
    <row r="34" spans="1:14" x14ac:dyDescent="0.25">
      <c r="A34" s="1" t="s">
        <v>60</v>
      </c>
      <c r="B34" s="40">
        <v>-0.5</v>
      </c>
      <c r="D34" s="85">
        <v>-0.5</v>
      </c>
      <c r="F34" s="14"/>
      <c r="G34" s="12"/>
    </row>
    <row r="35" spans="1:14" ht="18.75" x14ac:dyDescent="0.35">
      <c r="A35" s="1" t="s">
        <v>62</v>
      </c>
      <c r="B35" s="7">
        <f>(B32-1-B34*(1-B33*B33))/(1-B33)</f>
        <v>7.857142857142857E-2</v>
      </c>
      <c r="C35" s="14" t="s">
        <v>82</v>
      </c>
      <c r="D35" s="14"/>
      <c r="E35" s="14"/>
      <c r="F35" s="14"/>
      <c r="G35" s="12"/>
      <c r="M35" s="12"/>
      <c r="N35" s="12"/>
    </row>
    <row r="36" spans="1:14" ht="18" x14ac:dyDescent="0.35">
      <c r="A36" s="1" t="s">
        <v>61</v>
      </c>
      <c r="B36" s="7">
        <f>B32-B35-B34</f>
        <v>1.0214285714285714</v>
      </c>
      <c r="C36" s="14" t="s">
        <v>83</v>
      </c>
      <c r="D36" s="14"/>
      <c r="E36" s="14"/>
      <c r="F36" s="14"/>
      <c r="G36" s="14"/>
      <c r="M36" s="12"/>
      <c r="N36" s="12"/>
    </row>
    <row r="37" spans="1:14" x14ac:dyDescent="0.25">
      <c r="A37" s="1"/>
      <c r="B37" s="7"/>
      <c r="C37" s="14"/>
      <c r="D37" s="14"/>
      <c r="E37" s="14"/>
      <c r="F37" s="14"/>
      <c r="G37" s="14"/>
      <c r="M37" s="12"/>
      <c r="N37" s="12"/>
    </row>
    <row r="38" spans="1:14" x14ac:dyDescent="0.25">
      <c r="F38" s="14"/>
      <c r="G38" s="14"/>
    </row>
    <row r="39" spans="1:14" ht="18" x14ac:dyDescent="0.35">
      <c r="A39" s="64" t="s">
        <v>172</v>
      </c>
      <c r="B39" s="14"/>
      <c r="C39" s="14"/>
      <c r="D39" s="14"/>
      <c r="E39" s="14"/>
      <c r="F39" s="14"/>
      <c r="G39" s="14"/>
      <c r="H39" s="14"/>
    </row>
    <row r="40" spans="1:14" ht="18" x14ac:dyDescent="0.35">
      <c r="A40" s="64" t="s">
        <v>169</v>
      </c>
      <c r="B40" s="14"/>
      <c r="C40" s="14"/>
      <c r="D40" s="14"/>
      <c r="E40" s="14"/>
      <c r="F40" s="14"/>
      <c r="G40" s="14"/>
      <c r="H40" s="14"/>
    </row>
    <row r="41" spans="1:14" ht="18" x14ac:dyDescent="0.35">
      <c r="A41" s="64" t="s">
        <v>168</v>
      </c>
      <c r="B41" s="14"/>
      <c r="C41" s="14"/>
      <c r="D41" s="14"/>
      <c r="E41" s="14"/>
      <c r="F41" s="14"/>
      <c r="G41" s="14"/>
      <c r="H41" s="14"/>
    </row>
    <row r="42" spans="1:14" x14ac:dyDescent="0.25">
      <c r="A42" s="65" t="s">
        <v>165</v>
      </c>
      <c r="B42" s="83">
        <v>215</v>
      </c>
      <c r="C42" s="14" t="s">
        <v>15</v>
      </c>
      <c r="D42" s="14"/>
      <c r="E42" s="14"/>
      <c r="F42" s="14"/>
      <c r="G42" s="14"/>
      <c r="H42" s="14"/>
    </row>
    <row r="43" spans="1:14" x14ac:dyDescent="0.25">
      <c r="A43" s="65" t="s">
        <v>166</v>
      </c>
      <c r="B43" s="83">
        <v>80</v>
      </c>
      <c r="C43" s="14" t="s">
        <v>15</v>
      </c>
      <c r="D43" s="14"/>
      <c r="E43" s="14"/>
      <c r="F43" s="14"/>
      <c r="G43" s="14"/>
      <c r="H43" s="14"/>
    </row>
    <row r="44" spans="1:14" x14ac:dyDescent="0.25">
      <c r="A44" s="65" t="s">
        <v>167</v>
      </c>
      <c r="B44" s="83">
        <v>630</v>
      </c>
      <c r="C44" s="14" t="s">
        <v>15</v>
      </c>
      <c r="D44" s="14"/>
      <c r="E44" s="14"/>
      <c r="F44" s="14"/>
      <c r="G44" s="14"/>
      <c r="H44" s="14"/>
    </row>
    <row r="45" spans="1:14" ht="18" x14ac:dyDescent="0.35">
      <c r="A45" s="89" t="s">
        <v>5</v>
      </c>
      <c r="B45" s="90" t="s">
        <v>16</v>
      </c>
      <c r="C45" s="91" t="s">
        <v>215</v>
      </c>
      <c r="D45" s="91" t="s">
        <v>133</v>
      </c>
      <c r="E45" s="90" t="s">
        <v>85</v>
      </c>
      <c r="F45" s="91" t="s">
        <v>18</v>
      </c>
      <c r="G45" s="90" t="s">
        <v>86</v>
      </c>
      <c r="H45" s="92" t="s">
        <v>170</v>
      </c>
      <c r="I45" s="91" t="s">
        <v>17</v>
      </c>
      <c r="J45" s="93" t="s">
        <v>171</v>
      </c>
    </row>
    <row r="46" spans="1:14" x14ac:dyDescent="0.25">
      <c r="A46" s="88">
        <v>1</v>
      </c>
      <c r="B46" s="32">
        <f t="shared" ref="B46:B62" si="0">A46*B$44</f>
        <v>630</v>
      </c>
      <c r="C46" s="12">
        <f>A46*A46*'WPF Model'!B$8+A46*'WPF Model'!B$10+'WPF Model'!B$9</f>
        <v>1.0000000000000004</v>
      </c>
      <c r="D46" s="12">
        <f>IF(A46&lt;+B$9,1,A46*A46*B$10+A46*B$11+B$12)</f>
        <v>0.6</v>
      </c>
      <c r="E46" s="32">
        <f t="shared" ref="E46:E62" si="1">D46*B$42</f>
        <v>129</v>
      </c>
      <c r="F46" s="12">
        <f t="shared" ref="F46:F66" si="2">IF(A46&lt;+B$21,1,A46*A46*B$22+A46*B$23+B$24)</f>
        <v>0</v>
      </c>
      <c r="G46" s="32">
        <f>B$43*F46</f>
        <v>0</v>
      </c>
      <c r="H46" s="32">
        <f t="shared" ref="H46:H62" si="3">B46-D46*B$42-F46*B$43</f>
        <v>501</v>
      </c>
      <c r="I46" s="12">
        <f t="shared" ref="I46:I66" si="4">IF(A46&lt;=B$33,1,A46*A46*B$34+A46*B$35+B$36)</f>
        <v>0.59999999999999987</v>
      </c>
      <c r="J46" s="25">
        <f t="shared" ref="J46:J62" si="5">H46/I46</f>
        <v>835.00000000000023</v>
      </c>
    </row>
    <row r="47" spans="1:14" x14ac:dyDescent="0.25">
      <c r="A47" s="88">
        <f>A46-0.05</f>
        <v>0.95</v>
      </c>
      <c r="B47" s="32">
        <f t="shared" si="0"/>
        <v>598.5</v>
      </c>
      <c r="C47" s="12">
        <f>A47*A47*'WPF Model'!B$8+A47*'WPF Model'!B$10+'WPF Model'!B$9</f>
        <v>0.98491928571428566</v>
      </c>
      <c r="D47" s="12">
        <f t="shared" ref="D47:D66" si="6">IF(A47&lt;+B$9,1,A47*A47*B$10+A47*B$11+B$12)</f>
        <v>0.66107142857142853</v>
      </c>
      <c r="E47" s="32">
        <f t="shared" si="1"/>
        <v>142.13035714285712</v>
      </c>
      <c r="F47" s="12">
        <f t="shared" si="2"/>
        <v>0.14500000000000002</v>
      </c>
      <c r="G47" s="32">
        <f t="shared" ref="G47:G62" si="7">B$43*F47</f>
        <v>11.600000000000001</v>
      </c>
      <c r="H47" s="32">
        <f t="shared" si="3"/>
        <v>444.76964285714286</v>
      </c>
      <c r="I47" s="12">
        <f t="shared" si="4"/>
        <v>0.64482142857142843</v>
      </c>
      <c r="J47" s="25">
        <f t="shared" si="5"/>
        <v>689.75630019385221</v>
      </c>
    </row>
    <row r="48" spans="1:14" x14ac:dyDescent="0.25">
      <c r="A48" s="88">
        <f t="shared" ref="A48:A66" si="8">A47-0.05</f>
        <v>0.89999999999999991</v>
      </c>
      <c r="B48" s="32">
        <f t="shared" si="0"/>
        <v>567</v>
      </c>
      <c r="C48" s="12">
        <f>A48*A48*'WPF Model'!B$8+A48*'WPF Model'!B$10+'WPF Model'!B$9</f>
        <v>0.95528857142857238</v>
      </c>
      <c r="D48" s="12">
        <f t="shared" si="6"/>
        <v>0.71714285714285719</v>
      </c>
      <c r="E48" s="32">
        <f t="shared" si="1"/>
        <v>154.18571428571428</v>
      </c>
      <c r="F48" s="12">
        <f t="shared" si="2"/>
        <v>0.28000000000000025</v>
      </c>
      <c r="G48" s="32">
        <f t="shared" si="7"/>
        <v>22.40000000000002</v>
      </c>
      <c r="H48" s="32">
        <f t="shared" si="3"/>
        <v>390.41428571428565</v>
      </c>
      <c r="I48" s="12">
        <f t="shared" si="4"/>
        <v>0.68714285714285717</v>
      </c>
      <c r="J48" s="25">
        <f t="shared" si="5"/>
        <v>568.17047817047808</v>
      </c>
    </row>
    <row r="49" spans="1:10" x14ac:dyDescent="0.25">
      <c r="A49" s="88">
        <f t="shared" si="8"/>
        <v>0.84999999999999987</v>
      </c>
      <c r="B49" s="32">
        <f t="shared" si="0"/>
        <v>535.49999999999989</v>
      </c>
      <c r="C49" s="12">
        <f>A49*A49*'WPF Model'!B$8+A49*'WPF Model'!B$10+'WPF Model'!B$9</f>
        <v>0.91110785714285747</v>
      </c>
      <c r="D49" s="12">
        <f t="shared" si="6"/>
        <v>0.76821428571428574</v>
      </c>
      <c r="E49" s="32">
        <f t="shared" si="1"/>
        <v>165.16607142857143</v>
      </c>
      <c r="F49" s="12">
        <f t="shared" si="2"/>
        <v>0.40500000000000025</v>
      </c>
      <c r="G49" s="32">
        <f t="shared" si="7"/>
        <v>32.40000000000002</v>
      </c>
      <c r="H49" s="32">
        <f t="shared" si="3"/>
        <v>337.93392857142845</v>
      </c>
      <c r="I49" s="12">
        <f t="shared" si="4"/>
        <v>0.72696428571428573</v>
      </c>
      <c r="J49" s="25">
        <f t="shared" si="5"/>
        <v>464.85630066322756</v>
      </c>
    </row>
    <row r="50" spans="1:10" x14ac:dyDescent="0.25">
      <c r="A50" s="88">
        <f t="shared" si="8"/>
        <v>0.79999999999999982</v>
      </c>
      <c r="B50" s="32">
        <f t="shared" si="0"/>
        <v>503.99999999999989</v>
      </c>
      <c r="C50" s="12">
        <f>A50*A50*'WPF Model'!B$8+A50*'WPF Model'!B$10+'WPF Model'!B$9</f>
        <v>0.85237714285714317</v>
      </c>
      <c r="D50" s="12">
        <f t="shared" si="6"/>
        <v>0.81428571428571439</v>
      </c>
      <c r="E50" s="32">
        <f t="shared" si="1"/>
        <v>175.07142857142858</v>
      </c>
      <c r="F50" s="12">
        <f t="shared" si="2"/>
        <v>0.52000000000000046</v>
      </c>
      <c r="G50" s="32">
        <f t="shared" si="7"/>
        <v>41.600000000000037</v>
      </c>
      <c r="H50" s="32">
        <f t="shared" si="3"/>
        <v>287.32857142857131</v>
      </c>
      <c r="I50" s="12">
        <f t="shared" si="4"/>
        <v>0.76428571428571435</v>
      </c>
      <c r="J50" s="25">
        <f t="shared" si="5"/>
        <v>375.94392523364468</v>
      </c>
    </row>
    <row r="51" spans="1:10" x14ac:dyDescent="0.25">
      <c r="A51" s="88">
        <f t="shared" si="8"/>
        <v>0.74999999999999978</v>
      </c>
      <c r="B51" s="32">
        <f t="shared" si="0"/>
        <v>472.49999999999989</v>
      </c>
      <c r="C51" s="12">
        <f>A51*A51*'WPF Model'!B$8+A51*'WPF Model'!B$10+'WPF Model'!B$9</f>
        <v>0.77909642857142858</v>
      </c>
      <c r="D51" s="12">
        <f t="shared" si="6"/>
        <v>0.85535714285714304</v>
      </c>
      <c r="E51" s="32">
        <f t="shared" si="1"/>
        <v>183.90178571428575</v>
      </c>
      <c r="F51" s="12">
        <f t="shared" si="2"/>
        <v>0.62500000000000044</v>
      </c>
      <c r="G51" s="32">
        <f t="shared" si="7"/>
        <v>50.000000000000036</v>
      </c>
      <c r="H51" s="32">
        <f t="shared" si="3"/>
        <v>238.59821428571408</v>
      </c>
      <c r="I51" s="12">
        <f t="shared" si="4"/>
        <v>0.7991071428571429</v>
      </c>
      <c r="J51" s="25">
        <f t="shared" si="5"/>
        <v>298.58100558659191</v>
      </c>
    </row>
    <row r="52" spans="1:10" x14ac:dyDescent="0.25">
      <c r="A52" s="88">
        <f t="shared" si="8"/>
        <v>0.69999999999999973</v>
      </c>
      <c r="B52" s="32">
        <f t="shared" si="0"/>
        <v>440.99999999999983</v>
      </c>
      <c r="C52" s="12">
        <f>A52*A52*'WPF Model'!B$8+A52*'WPF Model'!B$10+'WPF Model'!B$9</f>
        <v>0.69126571428571504</v>
      </c>
      <c r="D52" s="12">
        <f t="shared" si="6"/>
        <v>0.89142857142857168</v>
      </c>
      <c r="E52" s="32">
        <f t="shared" si="1"/>
        <v>191.6571428571429</v>
      </c>
      <c r="F52" s="12">
        <f t="shared" si="2"/>
        <v>0.72000000000000053</v>
      </c>
      <c r="G52" s="32">
        <f t="shared" si="7"/>
        <v>57.600000000000044</v>
      </c>
      <c r="H52" s="32">
        <f t="shared" si="3"/>
        <v>191.74285714285688</v>
      </c>
      <c r="I52" s="12">
        <f t="shared" si="4"/>
        <v>0.83142857142857152</v>
      </c>
      <c r="J52" s="25">
        <f t="shared" si="5"/>
        <v>230.61855670103057</v>
      </c>
    </row>
    <row r="53" spans="1:10" x14ac:dyDescent="0.25">
      <c r="A53" s="88">
        <f t="shared" si="8"/>
        <v>0.64999999999999969</v>
      </c>
      <c r="B53" s="32">
        <f t="shared" si="0"/>
        <v>409.49999999999983</v>
      </c>
      <c r="C53" s="12">
        <f>A53*A53*'WPF Model'!B$8+A53*'WPF Model'!B$10+'WPF Model'!B$9</f>
        <v>0.58888499999999988</v>
      </c>
      <c r="D53" s="12">
        <f t="shared" si="6"/>
        <v>0.9225000000000001</v>
      </c>
      <c r="E53" s="32">
        <f t="shared" si="1"/>
        <v>198.33750000000003</v>
      </c>
      <c r="F53" s="12">
        <f t="shared" si="2"/>
        <v>0.80500000000000049</v>
      </c>
      <c r="G53" s="32">
        <f t="shared" si="7"/>
        <v>64.400000000000034</v>
      </c>
      <c r="H53" s="32">
        <f t="shared" si="3"/>
        <v>146.76249999999976</v>
      </c>
      <c r="I53" s="12">
        <f t="shared" si="4"/>
        <v>0.86125000000000007</v>
      </c>
      <c r="J53" s="25">
        <f t="shared" si="5"/>
        <v>170.40638606676313</v>
      </c>
    </row>
    <row r="54" spans="1:10" x14ac:dyDescent="0.25">
      <c r="A54" s="88">
        <f t="shared" si="8"/>
        <v>0.59999999999999964</v>
      </c>
      <c r="B54" s="32">
        <f t="shared" si="0"/>
        <v>377.99999999999977</v>
      </c>
      <c r="C54" s="12">
        <f>A54*A54*'WPF Model'!B$8+A54*'WPF Model'!B$10+'WPF Model'!B$9</f>
        <v>0.47195428571428488</v>
      </c>
      <c r="D54" s="12">
        <f t="shared" si="6"/>
        <v>0.94857142857142862</v>
      </c>
      <c r="E54" s="32">
        <f t="shared" si="1"/>
        <v>203.94285714285715</v>
      </c>
      <c r="F54" s="12">
        <f t="shared" si="2"/>
        <v>0.88000000000000045</v>
      </c>
      <c r="G54" s="32">
        <f t="shared" si="7"/>
        <v>70.400000000000034</v>
      </c>
      <c r="H54" s="32">
        <f t="shared" si="3"/>
        <v>103.65714285714259</v>
      </c>
      <c r="I54" s="12">
        <f t="shared" si="4"/>
        <v>0.88857142857142868</v>
      </c>
      <c r="J54" s="25">
        <f t="shared" si="5"/>
        <v>116.65594855305434</v>
      </c>
    </row>
    <row r="55" spans="1:10" x14ac:dyDescent="0.25">
      <c r="A55" s="88">
        <f t="shared" si="8"/>
        <v>0.5499999999999996</v>
      </c>
      <c r="B55" s="32">
        <f t="shared" si="0"/>
        <v>346.49999999999977</v>
      </c>
      <c r="C55" s="12">
        <f>A55*A55*'WPF Model'!B$8+A55*'WPF Model'!B$10+'WPF Model'!B$9</f>
        <v>0.34047357142857093</v>
      </c>
      <c r="D55" s="12">
        <f t="shared" si="6"/>
        <v>0.96964285714285725</v>
      </c>
      <c r="E55" s="32">
        <f t="shared" si="1"/>
        <v>208.47321428571431</v>
      </c>
      <c r="F55" s="12">
        <f t="shared" si="2"/>
        <v>0.94500000000000051</v>
      </c>
      <c r="G55" s="32">
        <f t="shared" si="7"/>
        <v>75.600000000000037</v>
      </c>
      <c r="H55" s="32">
        <f t="shared" si="3"/>
        <v>62.42678571428543</v>
      </c>
      <c r="I55" s="12">
        <f t="shared" si="4"/>
        <v>0.91339285714285723</v>
      </c>
      <c r="J55" s="25">
        <f t="shared" si="5"/>
        <v>68.34604105571816</v>
      </c>
    </row>
    <row r="56" spans="1:10" x14ac:dyDescent="0.25">
      <c r="A56" s="88">
        <f t="shared" si="8"/>
        <v>0.49999999999999961</v>
      </c>
      <c r="B56" s="32">
        <f t="shared" si="0"/>
        <v>314.99999999999977</v>
      </c>
      <c r="C56" s="12">
        <f>A56*A56*'WPF Model'!B$8+A56*'WPF Model'!B$10+'WPF Model'!B$9</f>
        <v>0.19444285714285625</v>
      </c>
      <c r="D56" s="12">
        <f t="shared" si="6"/>
        <v>0.98571428571428577</v>
      </c>
      <c r="E56" s="32">
        <f t="shared" si="1"/>
        <v>211.92857142857144</v>
      </c>
      <c r="F56" s="12">
        <f t="shared" si="2"/>
        <v>1.0000000000000004</v>
      </c>
      <c r="G56" s="32">
        <f t="shared" si="7"/>
        <v>80.000000000000028</v>
      </c>
      <c r="H56" s="32">
        <f t="shared" si="3"/>
        <v>23.071428571428299</v>
      </c>
      <c r="I56" s="12">
        <f t="shared" si="4"/>
        <v>0.93571428571428583</v>
      </c>
      <c r="J56" s="25">
        <f t="shared" si="5"/>
        <v>24.656488549618025</v>
      </c>
    </row>
    <row r="57" spans="1:10" x14ac:dyDescent="0.25">
      <c r="A57" s="88">
        <f t="shared" si="8"/>
        <v>0.44999999999999962</v>
      </c>
      <c r="B57" s="32">
        <f t="shared" si="0"/>
        <v>283.49999999999977</v>
      </c>
      <c r="C57" s="12">
        <f>A57*A57*'WPF Model'!B$8+A57*'WPF Model'!B$10+'WPF Model'!B$9</f>
        <v>3.3862142857142175E-2</v>
      </c>
      <c r="D57" s="12">
        <f t="shared" si="6"/>
        <v>0.99678571428571427</v>
      </c>
      <c r="E57" s="32">
        <f t="shared" si="1"/>
        <v>214.30892857142857</v>
      </c>
      <c r="F57" s="12">
        <f t="shared" si="2"/>
        <v>1</v>
      </c>
      <c r="G57" s="32">
        <f t="shared" si="7"/>
        <v>80</v>
      </c>
      <c r="H57" s="32">
        <f t="shared" si="3"/>
        <v>-10.808928571428794</v>
      </c>
      <c r="I57" s="12">
        <f t="shared" si="4"/>
        <v>0.95553571428571438</v>
      </c>
      <c r="J57" s="25">
        <f t="shared" si="5"/>
        <v>-11.311904316950335</v>
      </c>
    </row>
    <row r="58" spans="1:10" x14ac:dyDescent="0.25">
      <c r="A58" s="88">
        <f t="shared" si="8"/>
        <v>0.39999999999999963</v>
      </c>
      <c r="B58" s="32">
        <f t="shared" si="0"/>
        <v>251.99999999999977</v>
      </c>
      <c r="C58" s="12">
        <f>A58*A58*'WPF Model'!B$8+A58*'WPF Model'!B$10+'WPF Model'!B$9</f>
        <v>-0.14126857142857241</v>
      </c>
      <c r="D58" s="12">
        <f t="shared" si="6"/>
        <v>1.0028571428571429</v>
      </c>
      <c r="E58" s="32">
        <f t="shared" si="1"/>
        <v>215.61428571428573</v>
      </c>
      <c r="F58" s="12">
        <f t="shared" si="2"/>
        <v>1</v>
      </c>
      <c r="G58" s="32">
        <f t="shared" si="7"/>
        <v>80</v>
      </c>
      <c r="H58" s="32">
        <f t="shared" si="3"/>
        <v>-43.614285714285955</v>
      </c>
      <c r="I58" s="12">
        <f t="shared" si="4"/>
        <v>0.97285714285714286</v>
      </c>
      <c r="J58" s="25">
        <f t="shared" si="5"/>
        <v>-44.831130690161771</v>
      </c>
    </row>
    <row r="59" spans="1:10" x14ac:dyDescent="0.25">
      <c r="A59" s="88">
        <f t="shared" si="8"/>
        <v>0.34999999999999964</v>
      </c>
      <c r="B59" s="32">
        <f t="shared" si="0"/>
        <v>220.49999999999977</v>
      </c>
      <c r="C59" s="12">
        <f>A59*A59*'WPF Model'!B$8+A59*'WPF Model'!B$10+'WPF Model'!B$9</f>
        <v>-0.33094928571428639</v>
      </c>
      <c r="D59" s="12">
        <f t="shared" si="6"/>
        <v>1.0039285714285713</v>
      </c>
      <c r="E59" s="32">
        <f t="shared" si="1"/>
        <v>215.84464285714282</v>
      </c>
      <c r="F59" s="12">
        <f t="shared" si="2"/>
        <v>1</v>
      </c>
      <c r="G59" s="32">
        <f t="shared" si="7"/>
        <v>80</v>
      </c>
      <c r="H59" s="32">
        <f t="shared" si="3"/>
        <v>-75.344642857143043</v>
      </c>
      <c r="I59" s="12">
        <f t="shared" si="4"/>
        <v>0.98767857142857141</v>
      </c>
      <c r="J59" s="25">
        <f t="shared" si="5"/>
        <v>-76.284577834026592</v>
      </c>
    </row>
    <row r="60" spans="1:10" x14ac:dyDescent="0.25">
      <c r="A60" s="88">
        <f t="shared" si="8"/>
        <v>0.29999999999999966</v>
      </c>
      <c r="B60" s="32">
        <f t="shared" si="0"/>
        <v>188.99999999999977</v>
      </c>
      <c r="C60" s="12">
        <f>A60*A60*'WPF Model'!B$8+A60*'WPF Model'!B$10+'WPF Model'!B$9</f>
        <v>-0.53518000000000088</v>
      </c>
      <c r="D60" s="12">
        <f t="shared" si="6"/>
        <v>0.99999999999999989</v>
      </c>
      <c r="E60" s="32">
        <f t="shared" si="1"/>
        <v>214.99999999999997</v>
      </c>
      <c r="F60" s="12">
        <f t="shared" si="2"/>
        <v>1</v>
      </c>
      <c r="G60" s="32">
        <f t="shared" si="7"/>
        <v>80</v>
      </c>
      <c r="H60" s="32">
        <f t="shared" si="3"/>
        <v>-106.0000000000002</v>
      </c>
      <c r="I60" s="12">
        <f t="shared" si="4"/>
        <v>1</v>
      </c>
      <c r="J60" s="25">
        <f t="shared" si="5"/>
        <v>-106.0000000000002</v>
      </c>
    </row>
    <row r="61" spans="1:10" x14ac:dyDescent="0.25">
      <c r="A61" s="88">
        <f t="shared" si="8"/>
        <v>0.24999999999999967</v>
      </c>
      <c r="B61" s="32">
        <f t="shared" si="0"/>
        <v>157.4999999999998</v>
      </c>
      <c r="C61" s="12">
        <f>A61*A61*'WPF Model'!B$8+A61*'WPF Model'!B$10+'WPF Model'!B$9</f>
        <v>-0.75396071428571543</v>
      </c>
      <c r="D61" s="12">
        <f t="shared" si="6"/>
        <v>1</v>
      </c>
      <c r="E61" s="32">
        <f t="shared" si="1"/>
        <v>215</v>
      </c>
      <c r="F61" s="12">
        <f t="shared" si="2"/>
        <v>1</v>
      </c>
      <c r="G61" s="32">
        <f t="shared" si="7"/>
        <v>80</v>
      </c>
      <c r="H61" s="32">
        <f t="shared" si="3"/>
        <v>-137.5000000000002</v>
      </c>
      <c r="I61" s="12">
        <f t="shared" si="4"/>
        <v>1</v>
      </c>
      <c r="J61" s="25">
        <f t="shared" si="5"/>
        <v>-137.5000000000002</v>
      </c>
    </row>
    <row r="62" spans="1:10" x14ac:dyDescent="0.25">
      <c r="A62" s="88">
        <f t="shared" si="8"/>
        <v>0.19999999999999968</v>
      </c>
      <c r="B62" s="32">
        <f t="shared" si="0"/>
        <v>125.9999999999998</v>
      </c>
      <c r="C62" s="12">
        <f>A62*A62*'WPF Model'!B$8+A62*'WPF Model'!B$10+'WPF Model'!B$9</f>
        <v>-0.9872914285714296</v>
      </c>
      <c r="D62" s="12">
        <f t="shared" si="6"/>
        <v>1</v>
      </c>
      <c r="E62" s="32">
        <f t="shared" si="1"/>
        <v>215</v>
      </c>
      <c r="F62" s="12">
        <f t="shared" si="2"/>
        <v>1</v>
      </c>
      <c r="G62" s="32">
        <f t="shared" si="7"/>
        <v>80</v>
      </c>
      <c r="H62" s="32">
        <f t="shared" si="3"/>
        <v>-169.0000000000002</v>
      </c>
      <c r="I62" s="12">
        <f t="shared" si="4"/>
        <v>1</v>
      </c>
      <c r="J62" s="25">
        <f t="shared" si="5"/>
        <v>-169.0000000000002</v>
      </c>
    </row>
    <row r="63" spans="1:10" x14ac:dyDescent="0.25">
      <c r="A63" s="88">
        <f t="shared" si="8"/>
        <v>0.14999999999999969</v>
      </c>
      <c r="B63" s="32">
        <f t="shared" ref="B63:B66" si="9">A63*B$44</f>
        <v>94.499999999999801</v>
      </c>
      <c r="C63" s="12">
        <f>A63*A63*'WPF Model'!B$8+A63*'WPF Model'!B$10+'WPF Model'!B$9</f>
        <v>-1.2351721428571441</v>
      </c>
      <c r="D63" s="12">
        <f t="shared" si="6"/>
        <v>1</v>
      </c>
      <c r="E63" s="32">
        <f t="shared" ref="E63:E66" si="10">D63*B$42</f>
        <v>215</v>
      </c>
      <c r="F63" s="12">
        <f t="shared" si="2"/>
        <v>1</v>
      </c>
      <c r="G63" s="32">
        <f t="shared" ref="G63:G66" si="11">B$43*F63</f>
        <v>80</v>
      </c>
      <c r="H63" s="32">
        <f t="shared" ref="H63:H66" si="12">B63-D63*B$42-F63*B$43</f>
        <v>-200.5000000000002</v>
      </c>
      <c r="I63" s="12">
        <f t="shared" si="4"/>
        <v>1</v>
      </c>
      <c r="J63" s="25">
        <f t="shared" ref="J63:J66" si="13">H63/I63</f>
        <v>-200.5000000000002</v>
      </c>
    </row>
    <row r="64" spans="1:10" x14ac:dyDescent="0.25">
      <c r="A64" s="88">
        <f t="shared" si="8"/>
        <v>9.9999999999999686E-2</v>
      </c>
      <c r="B64" s="32">
        <f t="shared" si="9"/>
        <v>62.999999999999801</v>
      </c>
      <c r="C64" s="12">
        <f>A64*A64*'WPF Model'!B$8+A64*'WPF Model'!B$10+'WPF Model'!B$9</f>
        <v>-1.4976028571428586</v>
      </c>
      <c r="D64" s="12">
        <f t="shared" si="6"/>
        <v>1</v>
      </c>
      <c r="E64" s="32">
        <f t="shared" si="10"/>
        <v>215</v>
      </c>
      <c r="F64" s="12">
        <f t="shared" si="2"/>
        <v>1</v>
      </c>
      <c r="G64" s="32">
        <f t="shared" si="11"/>
        <v>80</v>
      </c>
      <c r="H64" s="32">
        <f t="shared" si="12"/>
        <v>-232.0000000000002</v>
      </c>
      <c r="I64" s="12">
        <f t="shared" si="4"/>
        <v>1</v>
      </c>
      <c r="J64" s="25">
        <f t="shared" si="13"/>
        <v>-232.0000000000002</v>
      </c>
    </row>
    <row r="65" spans="1:10" x14ac:dyDescent="0.25">
      <c r="A65" s="88">
        <f t="shared" si="8"/>
        <v>4.9999999999999684E-2</v>
      </c>
      <c r="B65" s="32">
        <f t="shared" si="9"/>
        <v>31.499999999999801</v>
      </c>
      <c r="C65" s="12">
        <f>A65*A65*'WPF Model'!B$8+A65*'WPF Model'!B$10+'WPF Model'!B$9</f>
        <v>-1.7745835714285729</v>
      </c>
      <c r="D65" s="12">
        <f t="shared" si="6"/>
        <v>1</v>
      </c>
      <c r="E65" s="32">
        <f t="shared" si="10"/>
        <v>215</v>
      </c>
      <c r="F65" s="12">
        <f t="shared" si="2"/>
        <v>1</v>
      </c>
      <c r="G65" s="32">
        <f t="shared" si="11"/>
        <v>80</v>
      </c>
      <c r="H65" s="32">
        <f t="shared" si="12"/>
        <v>-263.50000000000023</v>
      </c>
      <c r="I65" s="12">
        <f t="shared" si="4"/>
        <v>1</v>
      </c>
      <c r="J65" s="25">
        <f t="shared" si="13"/>
        <v>-263.50000000000023</v>
      </c>
    </row>
    <row r="66" spans="1:10" x14ac:dyDescent="0.25">
      <c r="A66" s="87">
        <f t="shared" si="8"/>
        <v>-3.1918911957973251E-16</v>
      </c>
      <c r="B66" s="33">
        <f t="shared" si="9"/>
        <v>-2.0108914533523148E-13</v>
      </c>
      <c r="C66" s="13">
        <f>A66*A66*'WPF Model'!B$8+A66*'WPF Model'!B$10+'WPF Model'!B$9</f>
        <v>-2.0661142857142871</v>
      </c>
      <c r="D66" s="13">
        <f t="shared" si="6"/>
        <v>1</v>
      </c>
      <c r="E66" s="33">
        <f t="shared" si="10"/>
        <v>215</v>
      </c>
      <c r="F66" s="13">
        <f t="shared" si="2"/>
        <v>1</v>
      </c>
      <c r="G66" s="33">
        <f t="shared" si="11"/>
        <v>80</v>
      </c>
      <c r="H66" s="33">
        <f t="shared" si="12"/>
        <v>-295.00000000000023</v>
      </c>
      <c r="I66" s="13">
        <f t="shared" si="4"/>
        <v>1</v>
      </c>
      <c r="J66" s="27">
        <f t="shared" si="13"/>
        <v>-295.00000000000023</v>
      </c>
    </row>
    <row r="67" spans="1:10" x14ac:dyDescent="0.25">
      <c r="A67" s="12"/>
      <c r="B67" s="32"/>
      <c r="C67" s="12"/>
      <c r="D67" s="12"/>
      <c r="E67" s="32"/>
      <c r="F67" s="12"/>
      <c r="G67" s="32"/>
      <c r="H67" s="32"/>
      <c r="I67" s="12"/>
      <c r="J67" s="32"/>
    </row>
    <row r="68" spans="1:10" x14ac:dyDescent="0.25">
      <c r="A68" s="12"/>
      <c r="B68" s="32"/>
      <c r="C68" s="12"/>
      <c r="D68" s="12"/>
      <c r="E68" s="32"/>
      <c r="F68" s="12"/>
      <c r="G68" s="32"/>
      <c r="H68" s="32"/>
      <c r="I68" s="12"/>
      <c r="J68" s="32"/>
    </row>
    <row r="69" spans="1:10" x14ac:dyDescent="0.25">
      <c r="A69" s="12"/>
      <c r="B69" s="32"/>
      <c r="C69" s="12"/>
      <c r="D69" s="12"/>
      <c r="E69" s="32"/>
      <c r="F69" s="12"/>
      <c r="G69" s="32"/>
      <c r="H69" s="32"/>
      <c r="I69" s="12"/>
      <c r="J69" s="32"/>
    </row>
    <row r="70" spans="1:10" x14ac:dyDescent="0.25">
      <c r="A70" s="12"/>
      <c r="B70" s="32"/>
      <c r="C70" s="12"/>
      <c r="D70" s="12"/>
      <c r="E70" s="32"/>
      <c r="F70" s="12"/>
      <c r="G70" s="32"/>
      <c r="H70" s="32"/>
      <c r="I70" s="12"/>
      <c r="J70" s="32"/>
    </row>
  </sheetData>
  <conditionalFormatting sqref="A46:J70">
    <cfRule type="cellIs" dxfId="0" priority="1" operator="lessThan">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00"/>
  <sheetViews>
    <sheetView topLeftCell="A58" workbookViewId="0">
      <selection activeCell="K95" sqref="K95"/>
    </sheetView>
  </sheetViews>
  <sheetFormatPr defaultRowHeight="15" x14ac:dyDescent="0.25"/>
  <cols>
    <col min="1" max="1" width="9.85546875" customWidth="1"/>
    <col min="2" max="2" width="9.5703125" customWidth="1"/>
    <col min="3" max="3" width="9" customWidth="1"/>
    <col min="4" max="4" width="7.7109375" customWidth="1"/>
    <col min="5" max="5" width="9" customWidth="1"/>
    <col min="6" max="6" width="11.140625" customWidth="1"/>
    <col min="7" max="8" width="9.42578125" customWidth="1"/>
    <col min="9" max="9" width="10" customWidth="1"/>
    <col min="11" max="11" width="9.42578125" customWidth="1"/>
    <col min="14" max="14" width="9.42578125" customWidth="1"/>
  </cols>
  <sheetData>
    <row r="1" spans="1:15" x14ac:dyDescent="0.25">
      <c r="A1" s="2" t="s">
        <v>89</v>
      </c>
    </row>
    <row r="2" spans="1:15" x14ac:dyDescent="0.25">
      <c r="A2" t="s">
        <v>183</v>
      </c>
    </row>
    <row r="3" spans="1:15" ht="18" x14ac:dyDescent="0.35">
      <c r="A3" t="s">
        <v>90</v>
      </c>
      <c r="K3" s="109" t="s">
        <v>124</v>
      </c>
    </row>
    <row r="4" spans="1:15" x14ac:dyDescent="0.25">
      <c r="E4" s="2" t="s">
        <v>36</v>
      </c>
      <c r="K4" s="109"/>
    </row>
    <row r="5" spans="1:15" ht="17.25" x14ac:dyDescent="0.25">
      <c r="B5" s="28" t="s">
        <v>92</v>
      </c>
      <c r="C5" s="1" t="s">
        <v>175</v>
      </c>
      <c r="E5" s="1" t="s">
        <v>37</v>
      </c>
      <c r="F5" s="1" t="s">
        <v>103</v>
      </c>
      <c r="G5" s="1" t="s">
        <v>39</v>
      </c>
      <c r="H5" s="1" t="s">
        <v>185</v>
      </c>
      <c r="I5" s="1" t="s">
        <v>104</v>
      </c>
      <c r="K5" s="1" t="s">
        <v>37</v>
      </c>
      <c r="L5" s="1" t="s">
        <v>103</v>
      </c>
      <c r="M5" s="1" t="s">
        <v>39</v>
      </c>
      <c r="N5" s="1" t="s">
        <v>40</v>
      </c>
      <c r="O5" s="1" t="s">
        <v>104</v>
      </c>
    </row>
    <row r="6" spans="1:15" x14ac:dyDescent="0.25">
      <c r="A6" s="1"/>
      <c r="B6" s="40">
        <v>12500</v>
      </c>
      <c r="C6" s="40">
        <v>501</v>
      </c>
      <c r="D6" s="84">
        <f>L23-L24*L14-L25*L17</f>
        <v>501</v>
      </c>
      <c r="E6" s="55">
        <v>0.18</v>
      </c>
      <c r="F6" s="55">
        <v>0.2</v>
      </c>
      <c r="G6" s="55">
        <v>0.05</v>
      </c>
      <c r="H6" s="56">
        <v>1200</v>
      </c>
      <c r="I6" s="55">
        <v>0.04</v>
      </c>
      <c r="K6" s="68">
        <v>0.18</v>
      </c>
      <c r="L6" s="68">
        <v>0.2</v>
      </c>
      <c r="M6" s="68">
        <v>0.05</v>
      </c>
      <c r="N6" s="69">
        <v>1200</v>
      </c>
      <c r="O6" s="68">
        <v>0.04</v>
      </c>
    </row>
    <row r="7" spans="1:15" ht="17.25" x14ac:dyDescent="0.25">
      <c r="B7" s="1" t="s">
        <v>193</v>
      </c>
      <c r="E7" s="1" t="s">
        <v>101</v>
      </c>
      <c r="F7" s="1" t="s">
        <v>186</v>
      </c>
      <c r="G7" s="1" t="s">
        <v>102</v>
      </c>
      <c r="H7" s="1" t="s">
        <v>187</v>
      </c>
      <c r="I7" s="1" t="s">
        <v>188</v>
      </c>
      <c r="K7" s="28" t="s">
        <v>126</v>
      </c>
    </row>
    <row r="8" spans="1:15" x14ac:dyDescent="0.25">
      <c r="B8" s="113">
        <f>B6*2.2/56/2.47</f>
        <v>198.81434355118566</v>
      </c>
      <c r="E8" s="58">
        <f>E6*56/2.2</f>
        <v>4.5818181818181811</v>
      </c>
      <c r="F8" s="60">
        <f>10*F6*305/2.47</f>
        <v>246.96356275303643</v>
      </c>
      <c r="G8" s="58">
        <f>G6*56/2.2</f>
        <v>1.2727272727272727</v>
      </c>
      <c r="H8" s="59">
        <f>H6/2.47</f>
        <v>485.82995951417001</v>
      </c>
      <c r="I8" s="58">
        <f>10*I6*305/2.47</f>
        <v>49.392712550607285</v>
      </c>
    </row>
    <row r="9" spans="1:15" ht="15.75" customHeight="1" x14ac:dyDescent="0.25">
      <c r="A9" s="110" t="s">
        <v>189</v>
      </c>
      <c r="B9" s="111" t="s">
        <v>5</v>
      </c>
      <c r="C9" s="112">
        <v>0.8</v>
      </c>
    </row>
    <row r="10" spans="1:15" ht="30" x14ac:dyDescent="0.25">
      <c r="A10" s="78" t="s">
        <v>24</v>
      </c>
      <c r="B10" s="18"/>
      <c r="C10" s="18"/>
      <c r="D10" s="19"/>
      <c r="E10" s="99" t="s">
        <v>112</v>
      </c>
      <c r="F10" s="100" t="s">
        <v>194</v>
      </c>
      <c r="G10" s="100" t="s">
        <v>113</v>
      </c>
      <c r="H10" s="100" t="s">
        <v>114</v>
      </c>
      <c r="I10" s="101" t="s">
        <v>115</v>
      </c>
      <c r="K10" s="126" t="s">
        <v>184</v>
      </c>
      <c r="L10" s="127"/>
      <c r="M10" s="128" t="s">
        <v>195</v>
      </c>
      <c r="N10" s="128"/>
    </row>
    <row r="11" spans="1:15" ht="18.75" x14ac:dyDescent="0.35">
      <c r="A11" s="4" t="s">
        <v>95</v>
      </c>
      <c r="B11" s="14"/>
      <c r="C11" s="97">
        <f>B6*(MAX(0,N11+N12*C$9+N13*C$9*C$9))</f>
        <v>10654.714285714286</v>
      </c>
      <c r="D11" s="107" t="s">
        <v>23</v>
      </c>
      <c r="E11" s="23" t="s">
        <v>42</v>
      </c>
      <c r="F11" s="63" t="s">
        <v>106</v>
      </c>
      <c r="G11" s="15" t="s">
        <v>43</v>
      </c>
      <c r="H11" s="15" t="s">
        <v>105</v>
      </c>
      <c r="I11" s="77" t="s">
        <v>116</v>
      </c>
      <c r="K11" s="3" t="s">
        <v>53</v>
      </c>
      <c r="L11" s="84">
        <f>'WPF Model'!B6</f>
        <v>0.44</v>
      </c>
      <c r="M11" s="3" t="s">
        <v>49</v>
      </c>
      <c r="N11" s="96">
        <f>(L12-L11+L13*L11-L13*L11^2)/(1-L11)</f>
        <v>-2.0661142857142853</v>
      </c>
    </row>
    <row r="12" spans="1:15" ht="18" x14ac:dyDescent="0.35">
      <c r="A12" s="86" t="s">
        <v>196</v>
      </c>
      <c r="B12" s="14"/>
      <c r="C12" s="65"/>
      <c r="D12" s="107"/>
      <c r="E12" s="102">
        <f>E6*C11</f>
        <v>1917.8485714285714</v>
      </c>
      <c r="F12" s="103">
        <f>F6*10*(C6-C19)</f>
        <v>427.34285714285704</v>
      </c>
      <c r="G12" s="103">
        <f>-(G6*C11+H6)</f>
        <v>-1732.7357142857145</v>
      </c>
      <c r="H12" s="103">
        <f>-(I6*10*C21)</f>
        <v>-150.37757009345799</v>
      </c>
      <c r="I12" s="104">
        <f>SUM(E12:H12)</f>
        <v>462.07814419225588</v>
      </c>
      <c r="K12" s="23" t="s">
        <v>54</v>
      </c>
      <c r="L12" s="84">
        <f>'WPF Model'!B7</f>
        <v>0</v>
      </c>
      <c r="M12" s="23" t="s">
        <v>50</v>
      </c>
      <c r="N12" s="96">
        <f>(L12-1+L13-L13*L11^2)/(L11-1)</f>
        <v>5.9761142857142859</v>
      </c>
    </row>
    <row r="13" spans="1:15" ht="17.25" x14ac:dyDescent="0.25">
      <c r="A13" s="4" t="s">
        <v>129</v>
      </c>
      <c r="B13" s="14"/>
      <c r="C13" s="97">
        <f>L24*(MIN(1,N14+N15*C$9+N16*C$9*C$9))</f>
        <v>175.07142857142853</v>
      </c>
      <c r="D13" s="107" t="s">
        <v>15</v>
      </c>
      <c r="K13" s="71" t="s">
        <v>51</v>
      </c>
      <c r="L13" s="84">
        <f>'WPF Model'!B8</f>
        <v>-2.91</v>
      </c>
      <c r="M13" s="71" t="s">
        <v>51</v>
      </c>
      <c r="N13" s="84">
        <f>L13</f>
        <v>-2.91</v>
      </c>
    </row>
    <row r="14" spans="1:15" ht="18" x14ac:dyDescent="0.35">
      <c r="A14" s="86" t="s">
        <v>197</v>
      </c>
      <c r="B14" s="14"/>
      <c r="C14" s="65"/>
      <c r="D14" s="107"/>
      <c r="K14" s="3" t="s">
        <v>69</v>
      </c>
      <c r="L14" s="84">
        <f>IrrReq!B8</f>
        <v>0.6</v>
      </c>
      <c r="M14" s="1" t="s">
        <v>66</v>
      </c>
      <c r="N14" s="96">
        <f>$L14-$N15-$L16</f>
        <v>0.87142857142857133</v>
      </c>
      <c r="O14" s="12"/>
    </row>
    <row r="15" spans="1:15" ht="18.75" x14ac:dyDescent="0.35">
      <c r="A15" s="4" t="s">
        <v>96</v>
      </c>
      <c r="B15" s="14"/>
      <c r="C15" s="97">
        <f>L25*(MIN(1,N17+N18*C$9+N19*C$9*C$9))</f>
        <v>41.59999999999998</v>
      </c>
      <c r="D15" s="107" t="s">
        <v>15</v>
      </c>
      <c r="K15" s="23" t="s">
        <v>70</v>
      </c>
      <c r="L15" s="84">
        <f>IrrReq!B9</f>
        <v>0.3</v>
      </c>
      <c r="M15" s="1" t="s">
        <v>65</v>
      </c>
      <c r="N15" s="96">
        <f>($L14-1-$L16*(1-$L15*$L15))/(1-$L15)</f>
        <v>0.72857142857142865</v>
      </c>
      <c r="O15" s="12"/>
    </row>
    <row r="16" spans="1:15" x14ac:dyDescent="0.25">
      <c r="A16" s="86" t="s">
        <v>198</v>
      </c>
      <c r="B16" s="14"/>
      <c r="C16" s="65"/>
      <c r="D16" s="107"/>
      <c r="F16" s="10"/>
      <c r="K16" s="71" t="s">
        <v>64</v>
      </c>
      <c r="L16" s="84">
        <f>IrrReq!B10</f>
        <v>-1</v>
      </c>
      <c r="M16" s="71" t="s">
        <v>64</v>
      </c>
      <c r="N16" s="84">
        <f>L16</f>
        <v>-1</v>
      </c>
    </row>
    <row r="17" spans="1:19" ht="18.75" x14ac:dyDescent="0.35">
      <c r="A17" s="4" t="s">
        <v>59</v>
      </c>
      <c r="B17" s="14"/>
      <c r="C17" s="98">
        <f>MIN(1,(N20+N21*C$9+N22*C$9*C$9))</f>
        <v>0.76428571428571423</v>
      </c>
      <c r="D17" s="107"/>
      <c r="K17" s="3" t="s">
        <v>74</v>
      </c>
      <c r="L17" s="84">
        <f>IrrReq!B20</f>
        <v>0</v>
      </c>
      <c r="M17" s="1" t="s">
        <v>78</v>
      </c>
      <c r="N17" s="96">
        <f>$L17-$N18-$L19</f>
        <v>1</v>
      </c>
      <c r="O17" s="12"/>
    </row>
    <row r="18" spans="1:19" ht="18" x14ac:dyDescent="0.35">
      <c r="A18" s="86" t="s">
        <v>199</v>
      </c>
      <c r="B18" s="14"/>
      <c r="C18" s="14"/>
      <c r="D18" s="107"/>
      <c r="F18" s="10"/>
      <c r="K18" s="23" t="s">
        <v>75</v>
      </c>
      <c r="L18" s="84">
        <f>IrrReq!B21</f>
        <v>0.5</v>
      </c>
      <c r="M18" s="1" t="s">
        <v>77</v>
      </c>
      <c r="N18" s="96">
        <f>($L17-1-$L19*(1-$L18*$L18))/(1-$L18)</f>
        <v>1</v>
      </c>
      <c r="O18" s="12"/>
    </row>
    <row r="19" spans="1:19" ht="18" x14ac:dyDescent="0.35">
      <c r="A19" s="4" t="s">
        <v>97</v>
      </c>
      <c r="B19" s="14"/>
      <c r="C19" s="97">
        <f>MAX(C9*L23-C13-C15,0)</f>
        <v>287.32857142857148</v>
      </c>
      <c r="D19" s="107" t="s">
        <v>15</v>
      </c>
      <c r="K19" s="71" t="s">
        <v>76</v>
      </c>
      <c r="L19" s="84">
        <f>IrrReq!B22</f>
        <v>-2</v>
      </c>
      <c r="M19" s="71" t="s">
        <v>76</v>
      </c>
      <c r="N19" s="84">
        <f>L19</f>
        <v>-2</v>
      </c>
    </row>
    <row r="20" spans="1:19" ht="18" x14ac:dyDescent="0.35">
      <c r="A20" s="86" t="s">
        <v>200</v>
      </c>
      <c r="B20" s="14"/>
      <c r="C20" s="14"/>
      <c r="D20" s="107"/>
      <c r="F20" s="10"/>
      <c r="K20" s="3" t="s">
        <v>47</v>
      </c>
      <c r="L20" s="84">
        <f>IrrReq!B32</f>
        <v>0.6</v>
      </c>
      <c r="M20" s="1" t="s">
        <v>61</v>
      </c>
      <c r="N20" s="96">
        <f>$L20-$N21-$L22</f>
        <v>1.0214285714285714</v>
      </c>
    </row>
    <row r="21" spans="1:19" ht="18" x14ac:dyDescent="0.35">
      <c r="A21" s="5" t="s">
        <v>98</v>
      </c>
      <c r="B21" s="20"/>
      <c r="C21" s="106">
        <f>C19/C17</f>
        <v>375.94392523364496</v>
      </c>
      <c r="D21" s="108" t="s">
        <v>15</v>
      </c>
      <c r="K21" s="23" t="s">
        <v>128</v>
      </c>
      <c r="L21" s="84">
        <f>IrrReq!B33</f>
        <v>0.3</v>
      </c>
      <c r="M21" s="1" t="s">
        <v>62</v>
      </c>
      <c r="N21" s="96">
        <f>($L20-1-$L22*(1-$L21*$L21))/(1-$L21)</f>
        <v>7.857142857142857E-2</v>
      </c>
    </row>
    <row r="22" spans="1:19" x14ac:dyDescent="0.25">
      <c r="K22" s="71" t="s">
        <v>60</v>
      </c>
      <c r="L22" s="84">
        <f>IrrReq!B34</f>
        <v>-0.5</v>
      </c>
      <c r="M22" s="71" t="s">
        <v>60</v>
      </c>
      <c r="N22" s="84">
        <f>L22</f>
        <v>-0.5</v>
      </c>
    </row>
    <row r="23" spans="1:19" x14ac:dyDescent="0.25">
      <c r="K23" s="95" t="s">
        <v>93</v>
      </c>
      <c r="L23" s="94">
        <f>IrrReq!B44</f>
        <v>630</v>
      </c>
    </row>
    <row r="24" spans="1:19" x14ac:dyDescent="0.25">
      <c r="K24" s="23" t="s">
        <v>176</v>
      </c>
      <c r="L24" s="94">
        <f>IrrReq!B42</f>
        <v>215</v>
      </c>
    </row>
    <row r="25" spans="1:19" x14ac:dyDescent="0.25">
      <c r="A25" s="39"/>
      <c r="G25" s="2"/>
      <c r="K25" s="71" t="s">
        <v>177</v>
      </c>
      <c r="L25" s="94">
        <f>IrrReq!B43</f>
        <v>80</v>
      </c>
    </row>
    <row r="26" spans="1:19" x14ac:dyDescent="0.25">
      <c r="A26" s="2" t="s">
        <v>190</v>
      </c>
      <c r="B26" s="41" t="s">
        <v>191</v>
      </c>
    </row>
    <row r="27" spans="1:19" ht="18" x14ac:dyDescent="0.35">
      <c r="A27" s="3" t="s">
        <v>5</v>
      </c>
      <c r="B27" s="11" t="s">
        <v>6</v>
      </c>
      <c r="C27" s="11" t="s">
        <v>107</v>
      </c>
      <c r="D27" s="11" t="s">
        <v>108</v>
      </c>
      <c r="E27" s="11" t="s">
        <v>42</v>
      </c>
      <c r="F27" s="42" t="s">
        <v>106</v>
      </c>
      <c r="G27" s="11" t="s">
        <v>43</v>
      </c>
      <c r="H27" s="11" t="s">
        <v>105</v>
      </c>
      <c r="I27" s="6" t="s">
        <v>116</v>
      </c>
      <c r="R27" s="14"/>
      <c r="S27" s="26"/>
    </row>
    <row r="28" spans="1:19" x14ac:dyDescent="0.25">
      <c r="A28" s="23"/>
      <c r="B28" s="49" t="s">
        <v>45</v>
      </c>
      <c r="C28" s="49" t="s">
        <v>15</v>
      </c>
      <c r="D28" s="49" t="s">
        <v>15</v>
      </c>
      <c r="E28" s="49" t="s">
        <v>44</v>
      </c>
      <c r="F28" s="49" t="s">
        <v>44</v>
      </c>
      <c r="G28" s="49" t="s">
        <v>44</v>
      </c>
      <c r="H28" s="49" t="s">
        <v>44</v>
      </c>
      <c r="I28" s="50" t="s">
        <v>44</v>
      </c>
      <c r="R28" s="14"/>
      <c r="S28" s="26"/>
    </row>
    <row r="29" spans="1:19" x14ac:dyDescent="0.25">
      <c r="A29" s="4">
        <v>1</v>
      </c>
      <c r="B29" s="32">
        <f t="shared" ref="B29:B64" si="0">B$6*(MAX(0,N$11+N$12*A29+N$13*A29^2))</f>
        <v>12500.000000000005</v>
      </c>
      <c r="C29" s="32">
        <f t="shared" ref="C29:C64" si="1">MAX(A29*L$23-L$24*(MIN(1,N$14+N$15*A29+N$16*A29^2))-L$25*(MIN(1,N$17+N$18*A29+N$19*A29^2)),0)</f>
        <v>501</v>
      </c>
      <c r="D29" s="32">
        <f t="shared" ref="D29:D64" si="2">C29/(MIN(1,N$20+N$21*A29+N$22*A29^2))</f>
        <v>835.00000000000023</v>
      </c>
      <c r="E29" s="43">
        <f t="shared" ref="E29:E64" si="3">E$6*B29</f>
        <v>2250.0000000000009</v>
      </c>
      <c r="F29" s="44">
        <f t="shared" ref="F29:F64" si="4">F$6*10*(C$29-C29)</f>
        <v>0</v>
      </c>
      <c r="G29" s="44">
        <f t="shared" ref="G29:G64" si="5">-(G$6*B29+H$6)</f>
        <v>-1825.0000000000005</v>
      </c>
      <c r="H29" s="44">
        <f t="shared" ref="H29:H64" si="6">-(I$6*10*D29)</f>
        <v>-334.00000000000011</v>
      </c>
      <c r="I29" s="45">
        <f>SUM(E29:H29)</f>
        <v>91.000000000000341</v>
      </c>
      <c r="J29">
        <f t="shared" ref="J29:J64" si="7">IF(I29=M$51,A29,0)</f>
        <v>0</v>
      </c>
      <c r="R29" s="14"/>
      <c r="S29" s="26"/>
    </row>
    <row r="30" spans="1:19" x14ac:dyDescent="0.25">
      <c r="A30" s="4">
        <f>A29-0.02</f>
        <v>0.98</v>
      </c>
      <c r="B30" s="32">
        <f t="shared" si="0"/>
        <v>12446.421428571435</v>
      </c>
      <c r="C30" s="32">
        <f t="shared" si="1"/>
        <v>478.2828571428571</v>
      </c>
      <c r="D30" s="32">
        <f t="shared" si="2"/>
        <v>773.63434698216099</v>
      </c>
      <c r="E30" s="43">
        <f t="shared" si="3"/>
        <v>2240.3558571428584</v>
      </c>
      <c r="F30" s="44">
        <f t="shared" si="4"/>
        <v>45.434285714285807</v>
      </c>
      <c r="G30" s="44">
        <f t="shared" si="5"/>
        <v>-1822.3210714285719</v>
      </c>
      <c r="H30" s="44">
        <f t="shared" si="6"/>
        <v>-309.45373879286444</v>
      </c>
      <c r="I30" s="45">
        <f t="shared" ref="I30:I44" si="8">SUM(E30:H30)</f>
        <v>154.01533263570764</v>
      </c>
      <c r="J30">
        <f t="shared" si="7"/>
        <v>0</v>
      </c>
      <c r="R30" s="14"/>
      <c r="S30" s="26"/>
    </row>
    <row r="31" spans="1:19" x14ac:dyDescent="0.25">
      <c r="A31" s="4">
        <f t="shared" ref="A31:A52" si="9">A30-0.02</f>
        <v>0.96</v>
      </c>
      <c r="B31" s="32">
        <f t="shared" si="0"/>
        <v>12363.742857142857</v>
      </c>
      <c r="C31" s="32">
        <f t="shared" si="1"/>
        <v>455.86571428571426</v>
      </c>
      <c r="D31" s="32">
        <f t="shared" si="2"/>
        <v>716.70559698140335</v>
      </c>
      <c r="E31" s="43">
        <f t="shared" si="3"/>
        <v>2225.4737142857143</v>
      </c>
      <c r="F31" s="44">
        <f t="shared" si="4"/>
        <v>90.268571428571477</v>
      </c>
      <c r="G31" s="44">
        <f t="shared" si="5"/>
        <v>-1818.187142857143</v>
      </c>
      <c r="H31" s="44">
        <f t="shared" si="6"/>
        <v>-286.68223879256135</v>
      </c>
      <c r="I31" s="45">
        <f t="shared" si="8"/>
        <v>210.87290406458118</v>
      </c>
      <c r="J31">
        <f t="shared" si="7"/>
        <v>0</v>
      </c>
      <c r="R31" s="14"/>
      <c r="S31" s="26"/>
    </row>
    <row r="32" spans="1:19" x14ac:dyDescent="0.25">
      <c r="A32" s="4">
        <f t="shared" si="9"/>
        <v>0.94</v>
      </c>
      <c r="B32" s="32">
        <f t="shared" si="0"/>
        <v>12251.964285714284</v>
      </c>
      <c r="C32" s="32">
        <f t="shared" si="1"/>
        <v>433.74857142857132</v>
      </c>
      <c r="D32" s="32">
        <f t="shared" si="2"/>
        <v>663.74606505771237</v>
      </c>
      <c r="E32" s="43">
        <f t="shared" si="3"/>
        <v>2205.3535714285713</v>
      </c>
      <c r="F32" s="44">
        <f t="shared" si="4"/>
        <v>134.50285714285735</v>
      </c>
      <c r="G32" s="44">
        <f t="shared" si="5"/>
        <v>-1812.5982142857142</v>
      </c>
      <c r="H32" s="44">
        <f t="shared" si="6"/>
        <v>-265.49842602308496</v>
      </c>
      <c r="I32" s="45">
        <f t="shared" si="8"/>
        <v>261.75978826262957</v>
      </c>
      <c r="J32">
        <f t="shared" si="7"/>
        <v>0</v>
      </c>
      <c r="R32" s="14"/>
      <c r="S32" s="26"/>
    </row>
    <row r="33" spans="1:19" x14ac:dyDescent="0.25">
      <c r="A33" s="4">
        <f t="shared" si="9"/>
        <v>0.91999999999999993</v>
      </c>
      <c r="B33" s="32">
        <f t="shared" si="0"/>
        <v>12111.085714285718</v>
      </c>
      <c r="C33" s="32">
        <f t="shared" si="1"/>
        <v>411.93142857142846</v>
      </c>
      <c r="D33" s="32">
        <f t="shared" si="2"/>
        <v>614.35145730356214</v>
      </c>
      <c r="E33" s="43">
        <f t="shared" si="3"/>
        <v>2179.9954285714293</v>
      </c>
      <c r="F33" s="44">
        <f t="shared" si="4"/>
        <v>178.13714285714309</v>
      </c>
      <c r="G33" s="44">
        <f t="shared" si="5"/>
        <v>-1805.5542857142859</v>
      </c>
      <c r="H33" s="44">
        <f t="shared" si="6"/>
        <v>-245.74058292142487</v>
      </c>
      <c r="I33" s="45">
        <f t="shared" si="8"/>
        <v>306.83770279286136</v>
      </c>
      <c r="J33">
        <f t="shared" si="7"/>
        <v>0</v>
      </c>
      <c r="R33" s="14"/>
      <c r="S33" s="26"/>
    </row>
    <row r="34" spans="1:19" x14ac:dyDescent="0.25">
      <c r="A34" s="4">
        <f t="shared" si="9"/>
        <v>0.89999999999999991</v>
      </c>
      <c r="B34" s="32">
        <f t="shared" si="0"/>
        <v>11941.107142857154</v>
      </c>
      <c r="C34" s="32">
        <f t="shared" si="1"/>
        <v>390.41428571428565</v>
      </c>
      <c r="D34" s="32">
        <f t="shared" si="2"/>
        <v>568.17047817047808</v>
      </c>
      <c r="E34" s="43">
        <f t="shared" si="3"/>
        <v>2149.3992857142875</v>
      </c>
      <c r="F34" s="44">
        <f t="shared" si="4"/>
        <v>221.17142857142869</v>
      </c>
      <c r="G34" s="44">
        <f t="shared" si="5"/>
        <v>-1797.0553571428577</v>
      </c>
      <c r="H34" s="44">
        <f t="shared" si="6"/>
        <v>-227.26819126819123</v>
      </c>
      <c r="I34" s="45">
        <f t="shared" si="8"/>
        <v>346.24716587466742</v>
      </c>
      <c r="J34">
        <f t="shared" si="7"/>
        <v>0</v>
      </c>
      <c r="R34" s="14"/>
      <c r="S34" s="26"/>
    </row>
    <row r="35" spans="1:19" x14ac:dyDescent="0.25">
      <c r="A35" s="4">
        <f t="shared" si="9"/>
        <v>0.87999999999999989</v>
      </c>
      <c r="B35" s="32">
        <f t="shared" si="0"/>
        <v>11742.028571428582</v>
      </c>
      <c r="C35" s="32">
        <f t="shared" si="1"/>
        <v>369.19714285714275</v>
      </c>
      <c r="D35" s="32">
        <f t="shared" si="2"/>
        <v>524.89641725566651</v>
      </c>
      <c r="E35" s="43">
        <f t="shared" si="3"/>
        <v>2113.5651428571446</v>
      </c>
      <c r="F35" s="44">
        <f t="shared" si="4"/>
        <v>263.6057142857145</v>
      </c>
      <c r="G35" s="44">
        <f t="shared" si="5"/>
        <v>-1787.1014285714291</v>
      </c>
      <c r="H35" s="44">
        <f t="shared" si="6"/>
        <v>-209.95856690226663</v>
      </c>
      <c r="I35" s="45">
        <f t="shared" si="8"/>
        <v>380.11086166916323</v>
      </c>
      <c r="J35">
        <f t="shared" si="7"/>
        <v>0</v>
      </c>
      <c r="R35" s="14"/>
      <c r="S35" s="26"/>
    </row>
    <row r="36" spans="1:19" x14ac:dyDescent="0.25">
      <c r="A36" s="4">
        <f t="shared" si="9"/>
        <v>0.85999999999999988</v>
      </c>
      <c r="B36" s="32">
        <f t="shared" si="0"/>
        <v>11513.850000000009</v>
      </c>
      <c r="C36" s="32">
        <f t="shared" si="1"/>
        <v>348.28</v>
      </c>
      <c r="D36" s="32">
        <f t="shared" si="2"/>
        <v>484.26028921023351</v>
      </c>
      <c r="E36" s="43">
        <f t="shared" si="3"/>
        <v>2072.4930000000018</v>
      </c>
      <c r="F36" s="44">
        <f t="shared" si="4"/>
        <v>305.44000000000005</v>
      </c>
      <c r="G36" s="44">
        <f t="shared" si="5"/>
        <v>-1775.6925000000006</v>
      </c>
      <c r="H36" s="44">
        <f t="shared" si="6"/>
        <v>-193.70411568409341</v>
      </c>
      <c r="I36" s="45">
        <f t="shared" si="8"/>
        <v>408.53638431590787</v>
      </c>
      <c r="J36">
        <f t="shared" si="7"/>
        <v>0</v>
      </c>
      <c r="R36" s="14"/>
      <c r="S36" s="26"/>
    </row>
    <row r="37" spans="1:19" x14ac:dyDescent="0.25">
      <c r="A37" s="4">
        <f t="shared" si="9"/>
        <v>0.83999999999999986</v>
      </c>
      <c r="B37" s="32">
        <f t="shared" si="0"/>
        <v>11256.571428571433</v>
      </c>
      <c r="C37" s="32">
        <f t="shared" si="1"/>
        <v>327.66285714285704</v>
      </c>
      <c r="D37" s="32">
        <f t="shared" si="2"/>
        <v>446.02520224019895</v>
      </c>
      <c r="E37" s="43">
        <f t="shared" si="3"/>
        <v>2026.1828571428578</v>
      </c>
      <c r="F37" s="44">
        <f t="shared" si="4"/>
        <v>346.67428571428593</v>
      </c>
      <c r="G37" s="44">
        <f t="shared" si="5"/>
        <v>-1762.8285714285716</v>
      </c>
      <c r="H37" s="44">
        <f t="shared" si="6"/>
        <v>-178.41008089607959</v>
      </c>
      <c r="I37" s="45">
        <f t="shared" si="8"/>
        <v>431.61849053249233</v>
      </c>
      <c r="J37">
        <f t="shared" si="7"/>
        <v>0</v>
      </c>
      <c r="R37" s="14"/>
      <c r="S37" s="26"/>
    </row>
    <row r="38" spans="1:19" x14ac:dyDescent="0.25">
      <c r="A38" s="4">
        <f t="shared" si="9"/>
        <v>0.81999999999999984</v>
      </c>
      <c r="B38" s="32">
        <f t="shared" si="0"/>
        <v>10970.19285714286</v>
      </c>
      <c r="C38" s="32">
        <f t="shared" si="1"/>
        <v>307.34571428571411</v>
      </c>
      <c r="D38" s="32">
        <f t="shared" si="2"/>
        <v>409.98170592270719</v>
      </c>
      <c r="E38" s="43">
        <f t="shared" si="3"/>
        <v>1974.6347142857146</v>
      </c>
      <c r="F38" s="44">
        <f t="shared" si="4"/>
        <v>387.30857142857178</v>
      </c>
      <c r="G38" s="44">
        <f t="shared" si="5"/>
        <v>-1748.509642857143</v>
      </c>
      <c r="H38" s="44">
        <f t="shared" si="6"/>
        <v>-163.9926823690829</v>
      </c>
      <c r="I38" s="45">
        <f t="shared" si="8"/>
        <v>449.44096048806057</v>
      </c>
      <c r="J38">
        <f t="shared" si="7"/>
        <v>0</v>
      </c>
      <c r="R38" s="14"/>
      <c r="S38" s="26"/>
    </row>
    <row r="39" spans="1:19" x14ac:dyDescent="0.25">
      <c r="A39" s="4">
        <f t="shared" si="9"/>
        <v>0.79999999999999982</v>
      </c>
      <c r="B39" s="32">
        <f t="shared" si="0"/>
        <v>10654.71428571429</v>
      </c>
      <c r="C39" s="32">
        <f t="shared" si="1"/>
        <v>287.32857142857125</v>
      </c>
      <c r="D39" s="32">
        <f t="shared" si="2"/>
        <v>375.94392523364456</v>
      </c>
      <c r="E39" s="43">
        <f t="shared" si="3"/>
        <v>1917.8485714285721</v>
      </c>
      <c r="F39" s="44">
        <f t="shared" si="4"/>
        <v>427.3428571428575</v>
      </c>
      <c r="G39" s="44">
        <f t="shared" si="5"/>
        <v>-1732.7357142857145</v>
      </c>
      <c r="H39" s="44">
        <f t="shared" si="6"/>
        <v>-150.37757009345782</v>
      </c>
      <c r="I39" s="45">
        <f t="shared" si="8"/>
        <v>462.07814419225735</v>
      </c>
      <c r="J39">
        <f t="shared" si="7"/>
        <v>0</v>
      </c>
      <c r="S39" s="26"/>
    </row>
    <row r="40" spans="1:19" x14ac:dyDescent="0.25">
      <c r="A40" s="4">
        <f t="shared" si="9"/>
        <v>0.7799999999999998</v>
      </c>
      <c r="B40" s="32">
        <f t="shared" si="0"/>
        <v>10310.135714285714</v>
      </c>
      <c r="C40" s="32">
        <f t="shared" si="1"/>
        <v>267.61142857142841</v>
      </c>
      <c r="D40" s="32">
        <f t="shared" si="2"/>
        <v>343.74633000587176</v>
      </c>
      <c r="E40" s="43">
        <f t="shared" si="3"/>
        <v>1855.8244285714284</v>
      </c>
      <c r="F40" s="44">
        <f t="shared" si="4"/>
        <v>466.77714285714319</v>
      </c>
      <c r="G40" s="44">
        <f t="shared" si="5"/>
        <v>-1715.5067857142858</v>
      </c>
      <c r="H40" s="44">
        <f t="shared" si="6"/>
        <v>-137.4985320023487</v>
      </c>
      <c r="I40" s="45">
        <f t="shared" si="8"/>
        <v>469.59625371193681</v>
      </c>
      <c r="J40">
        <f t="shared" si="7"/>
        <v>0</v>
      </c>
      <c r="S40" s="26"/>
    </row>
    <row r="41" spans="1:19" x14ac:dyDescent="0.25">
      <c r="A41" s="4">
        <f t="shared" si="9"/>
        <v>0.75999999999999979</v>
      </c>
      <c r="B41" s="32">
        <f t="shared" si="0"/>
        <v>9936.4571428571417</v>
      </c>
      <c r="C41" s="32">
        <f t="shared" si="1"/>
        <v>248.19428571428554</v>
      </c>
      <c r="D41" s="32">
        <f t="shared" si="2"/>
        <v>313.24102120294225</v>
      </c>
      <c r="E41" s="43">
        <f t="shared" si="3"/>
        <v>1788.5622857142855</v>
      </c>
      <c r="F41" s="44">
        <f t="shared" si="4"/>
        <v>505.61142857142892</v>
      </c>
      <c r="G41" s="44">
        <f t="shared" si="5"/>
        <v>-1696.8228571428572</v>
      </c>
      <c r="H41" s="44">
        <f t="shared" si="6"/>
        <v>-125.29640848117691</v>
      </c>
      <c r="I41" s="45">
        <f>SUM(E41:H41)</f>
        <v>472.05444866168051</v>
      </c>
      <c r="J41">
        <f t="shared" si="7"/>
        <v>0.75999999999999979</v>
      </c>
      <c r="S41" s="26"/>
    </row>
    <row r="42" spans="1:19" x14ac:dyDescent="0.25">
      <c r="A42" s="4">
        <f t="shared" si="9"/>
        <v>0.73999999999999977</v>
      </c>
      <c r="B42" s="32">
        <f t="shared" si="0"/>
        <v>9533.6785714285688</v>
      </c>
      <c r="C42" s="32">
        <f t="shared" si="1"/>
        <v>229.07714285714266</v>
      </c>
      <c r="D42" s="32">
        <f t="shared" si="2"/>
        <v>284.29544003971324</v>
      </c>
      <c r="E42" s="43">
        <f t="shared" si="3"/>
        <v>1716.0621428571424</v>
      </c>
      <c r="F42" s="44">
        <f t="shared" si="4"/>
        <v>543.84571428571462</v>
      </c>
      <c r="G42" s="44">
        <f t="shared" si="5"/>
        <v>-1676.6839285714284</v>
      </c>
      <c r="H42" s="44">
        <f t="shared" si="6"/>
        <v>-113.71817601588531</v>
      </c>
      <c r="I42" s="45">
        <f>SUM(E42:H42)</f>
        <v>469.50575255554349</v>
      </c>
      <c r="J42">
        <f t="shared" si="7"/>
        <v>0</v>
      </c>
      <c r="S42" s="26"/>
    </row>
    <row r="43" spans="1:19" x14ac:dyDescent="0.25">
      <c r="A43" s="4">
        <f t="shared" si="9"/>
        <v>0.71999999999999975</v>
      </c>
      <c r="B43" s="32">
        <f t="shared" si="0"/>
        <v>9101.7999999999956</v>
      </c>
      <c r="C43" s="32">
        <f t="shared" si="1"/>
        <v>210.25999999999979</v>
      </c>
      <c r="D43" s="32">
        <f t="shared" si="2"/>
        <v>256.79042501221272</v>
      </c>
      <c r="E43" s="43">
        <f t="shared" si="3"/>
        <v>1638.3239999999992</v>
      </c>
      <c r="F43" s="44">
        <f t="shared" si="4"/>
        <v>581.48000000000047</v>
      </c>
      <c r="G43" s="44">
        <f t="shared" si="5"/>
        <v>-1655.0899999999997</v>
      </c>
      <c r="H43" s="44">
        <f t="shared" si="6"/>
        <v>-102.7161700048851</v>
      </c>
      <c r="I43" s="45">
        <f>SUM(E43:H43)</f>
        <v>461.99782999511484</v>
      </c>
      <c r="J43">
        <f t="shared" si="7"/>
        <v>0</v>
      </c>
    </row>
    <row r="44" spans="1:19" x14ac:dyDescent="0.25">
      <c r="A44" s="4">
        <f t="shared" si="9"/>
        <v>0.69999999999999973</v>
      </c>
      <c r="B44" s="32">
        <f t="shared" si="0"/>
        <v>8640.8214285714348</v>
      </c>
      <c r="C44" s="32">
        <f t="shared" si="1"/>
        <v>191.74285714285688</v>
      </c>
      <c r="D44" s="32">
        <f t="shared" si="2"/>
        <v>230.61855670103057</v>
      </c>
      <c r="E44" s="43">
        <f t="shared" si="3"/>
        <v>1555.3478571428582</v>
      </c>
      <c r="F44" s="44">
        <f t="shared" si="4"/>
        <v>618.51428571428619</v>
      </c>
      <c r="G44" s="44">
        <f t="shared" si="5"/>
        <v>-1632.0410714285717</v>
      </c>
      <c r="H44" s="44">
        <f t="shared" si="6"/>
        <v>-92.247422680412228</v>
      </c>
      <c r="I44" s="45">
        <f t="shared" si="8"/>
        <v>449.57364874816017</v>
      </c>
      <c r="J44">
        <f t="shared" si="7"/>
        <v>0</v>
      </c>
    </row>
    <row r="45" spans="1:19" x14ac:dyDescent="0.25">
      <c r="A45" s="4">
        <f t="shared" si="9"/>
        <v>0.67999999999999972</v>
      </c>
      <c r="B45" s="32">
        <f t="shared" si="0"/>
        <v>8150.7428571428618</v>
      </c>
      <c r="C45" s="32">
        <f t="shared" si="1"/>
        <v>173.52571428571406</v>
      </c>
      <c r="D45" s="32">
        <f t="shared" si="2"/>
        <v>205.68274180438877</v>
      </c>
      <c r="E45" s="43">
        <f t="shared" si="3"/>
        <v>1467.1337142857151</v>
      </c>
      <c r="F45" s="44">
        <f t="shared" si="4"/>
        <v>654.94857142857188</v>
      </c>
      <c r="G45" s="44">
        <f t="shared" si="5"/>
        <v>-1607.5371428571432</v>
      </c>
      <c r="H45" s="44">
        <f t="shared" si="6"/>
        <v>-82.273096721755508</v>
      </c>
      <c r="I45" s="45">
        <f t="shared" ref="I45:I52" si="10">SUM(E45:H45)</f>
        <v>432.27204613538839</v>
      </c>
      <c r="J45">
        <f t="shared" si="7"/>
        <v>0</v>
      </c>
    </row>
    <row r="46" spans="1:19" x14ac:dyDescent="0.25">
      <c r="A46" s="4">
        <f t="shared" si="9"/>
        <v>0.6599999999999997</v>
      </c>
      <c r="B46" s="32">
        <f t="shared" si="0"/>
        <v>7631.5642857142821</v>
      </c>
      <c r="C46" s="32">
        <f t="shared" si="1"/>
        <v>155.60857142857111</v>
      </c>
      <c r="D46" s="32">
        <f t="shared" si="2"/>
        <v>181.89499699418838</v>
      </c>
      <c r="E46" s="43">
        <f t="shared" si="3"/>
        <v>1373.6815714285708</v>
      </c>
      <c r="F46" s="44">
        <f t="shared" si="4"/>
        <v>690.78285714285778</v>
      </c>
      <c r="G46" s="44">
        <f t="shared" si="5"/>
        <v>-1581.5782142857142</v>
      </c>
      <c r="H46" s="44">
        <f t="shared" si="6"/>
        <v>-72.757998797675356</v>
      </c>
      <c r="I46" s="45">
        <f t="shared" si="10"/>
        <v>410.1282154880389</v>
      </c>
      <c r="J46">
        <f t="shared" si="7"/>
        <v>0</v>
      </c>
    </row>
    <row r="47" spans="1:19" x14ac:dyDescent="0.25">
      <c r="A47" s="4">
        <f t="shared" si="9"/>
        <v>0.63999999999999968</v>
      </c>
      <c r="B47" s="32">
        <f t="shared" si="0"/>
        <v>7083.2857142857138</v>
      </c>
      <c r="C47" s="32">
        <f t="shared" si="1"/>
        <v>137.99142857142832</v>
      </c>
      <c r="D47" s="32">
        <f t="shared" si="2"/>
        <v>159.17540043504022</v>
      </c>
      <c r="E47" s="43">
        <f t="shared" si="3"/>
        <v>1274.9914285714285</v>
      </c>
      <c r="F47" s="44">
        <f t="shared" si="4"/>
        <v>726.01714285714343</v>
      </c>
      <c r="G47" s="44">
        <f t="shared" si="5"/>
        <v>-1554.1642857142856</v>
      </c>
      <c r="H47" s="44">
        <f t="shared" si="6"/>
        <v>-63.67016017401609</v>
      </c>
      <c r="I47" s="45">
        <f t="shared" si="10"/>
        <v>383.17412554027027</v>
      </c>
      <c r="J47">
        <f t="shared" si="7"/>
        <v>0</v>
      </c>
      <c r="R47" s="73"/>
      <c r="S47" s="43"/>
    </row>
    <row r="48" spans="1:19" x14ac:dyDescent="0.25">
      <c r="A48" s="4">
        <f t="shared" si="9"/>
        <v>0.61999999999999966</v>
      </c>
      <c r="B48" s="32">
        <f t="shared" si="0"/>
        <v>6505.9071428571397</v>
      </c>
      <c r="C48" s="32">
        <f t="shared" si="1"/>
        <v>120.67428571428543</v>
      </c>
      <c r="D48" s="32">
        <f t="shared" si="2"/>
        <v>137.45118458734672</v>
      </c>
      <c r="E48" s="43">
        <f t="shared" si="3"/>
        <v>1171.063285714285</v>
      </c>
      <c r="F48" s="44">
        <f t="shared" si="4"/>
        <v>760.65142857142916</v>
      </c>
      <c r="G48" s="44">
        <f t="shared" si="5"/>
        <v>-1525.295357142857</v>
      </c>
      <c r="H48" s="44">
        <f t="shared" si="6"/>
        <v>-54.980473834938692</v>
      </c>
      <c r="I48" s="45">
        <f t="shared" si="10"/>
        <v>351.43888330791856</v>
      </c>
      <c r="J48">
        <f t="shared" si="7"/>
        <v>0</v>
      </c>
    </row>
    <row r="49" spans="1:13" x14ac:dyDescent="0.25">
      <c r="A49" s="4">
        <f t="shared" si="9"/>
        <v>0.59999999999999964</v>
      </c>
      <c r="B49" s="32">
        <f t="shared" si="0"/>
        <v>5899.4285714285634</v>
      </c>
      <c r="C49" s="32">
        <f t="shared" si="1"/>
        <v>103.65714285714259</v>
      </c>
      <c r="D49" s="32">
        <f t="shared" si="2"/>
        <v>116.65594855305434</v>
      </c>
      <c r="E49" s="43">
        <f t="shared" si="3"/>
        <v>1061.8971428571413</v>
      </c>
      <c r="F49" s="44">
        <f t="shared" si="4"/>
        <v>794.68571428571477</v>
      </c>
      <c r="G49" s="44">
        <f t="shared" si="5"/>
        <v>-1494.9714285714281</v>
      </c>
      <c r="H49" s="44">
        <f t="shared" si="6"/>
        <v>-46.662379421221743</v>
      </c>
      <c r="I49" s="45">
        <f t="shared" si="10"/>
        <v>314.94904915020618</v>
      </c>
      <c r="J49">
        <f t="shared" si="7"/>
        <v>0</v>
      </c>
      <c r="L49" t="s">
        <v>182</v>
      </c>
    </row>
    <row r="50" spans="1:13" ht="18" x14ac:dyDescent="0.35">
      <c r="A50" s="4">
        <f t="shared" si="9"/>
        <v>0.57999999999999963</v>
      </c>
      <c r="B50" s="32">
        <f t="shared" si="0"/>
        <v>5263.8499999999922</v>
      </c>
      <c r="C50" s="32">
        <f t="shared" si="1"/>
        <v>86.939999999999699</v>
      </c>
      <c r="D50" s="32">
        <f t="shared" si="2"/>
        <v>96.72897196261647</v>
      </c>
      <c r="E50" s="43">
        <f t="shared" si="3"/>
        <v>947.49299999999857</v>
      </c>
      <c r="F50" s="44">
        <f t="shared" si="4"/>
        <v>828.12000000000057</v>
      </c>
      <c r="G50" s="44">
        <f t="shared" si="5"/>
        <v>-1463.1924999999997</v>
      </c>
      <c r="H50" s="44">
        <f t="shared" si="6"/>
        <v>-38.691588785046591</v>
      </c>
      <c r="I50" s="45">
        <f t="shared" si="10"/>
        <v>273.72891121495292</v>
      </c>
      <c r="J50">
        <f t="shared" si="7"/>
        <v>0</v>
      </c>
      <c r="L50" s="3" t="s">
        <v>118</v>
      </c>
      <c r="M50" s="19">
        <f>MAX(J29:J64)</f>
        <v>0.75999999999999979</v>
      </c>
    </row>
    <row r="51" spans="1:13" x14ac:dyDescent="0.25">
      <c r="A51" s="4">
        <f t="shared" si="9"/>
        <v>0.55999999999999961</v>
      </c>
      <c r="B51" s="32">
        <f t="shared" si="0"/>
        <v>4599.1714285714188</v>
      </c>
      <c r="C51" s="32">
        <f t="shared" si="1"/>
        <v>70.522857142856807</v>
      </c>
      <c r="D51" s="32">
        <f t="shared" si="2"/>
        <v>77.614615432991258</v>
      </c>
      <c r="E51" s="43">
        <f t="shared" si="3"/>
        <v>827.85085714285538</v>
      </c>
      <c r="F51" s="44">
        <f t="shared" si="4"/>
        <v>860.95428571428636</v>
      </c>
      <c r="G51" s="44">
        <f t="shared" si="5"/>
        <v>-1429.9585714285708</v>
      </c>
      <c r="H51" s="44">
        <f t="shared" si="6"/>
        <v>-31.045846173196505</v>
      </c>
      <c r="I51" s="45">
        <f t="shared" si="10"/>
        <v>227.80072525537426</v>
      </c>
      <c r="J51">
        <f t="shared" si="7"/>
        <v>0</v>
      </c>
      <c r="L51" s="71" t="s">
        <v>178</v>
      </c>
      <c r="M51" s="72">
        <f>MAX(I29:I64)</f>
        <v>472.05444866168051</v>
      </c>
    </row>
    <row r="52" spans="1:13" x14ac:dyDescent="0.25">
      <c r="A52" s="4">
        <f t="shared" si="9"/>
        <v>0.53999999999999959</v>
      </c>
      <c r="B52" s="32">
        <f t="shared" si="0"/>
        <v>3905.3928571428492</v>
      </c>
      <c r="C52" s="32">
        <f t="shared" si="1"/>
        <v>54.405714285714026</v>
      </c>
      <c r="D52" s="32">
        <f t="shared" si="2"/>
        <v>59.261795095231875</v>
      </c>
      <c r="E52" s="43">
        <f t="shared" si="3"/>
        <v>702.9707142857128</v>
      </c>
      <c r="F52" s="44">
        <f t="shared" si="4"/>
        <v>893.188571428572</v>
      </c>
      <c r="G52" s="44">
        <f t="shared" si="5"/>
        <v>-1395.2696428571426</v>
      </c>
      <c r="H52" s="44">
        <f t="shared" si="6"/>
        <v>-23.70471803809275</v>
      </c>
      <c r="I52" s="45">
        <f t="shared" si="10"/>
        <v>177.18492481904948</v>
      </c>
      <c r="J52">
        <f t="shared" si="7"/>
        <v>0</v>
      </c>
      <c r="L52" t="s">
        <v>181</v>
      </c>
    </row>
    <row r="53" spans="1:13" ht="18" x14ac:dyDescent="0.35">
      <c r="A53" s="4">
        <f t="shared" ref="A53:A60" si="11">A52-0.02</f>
        <v>0.51999999999999957</v>
      </c>
      <c r="B53" s="32">
        <f t="shared" si="0"/>
        <v>3182.5142857142773</v>
      </c>
      <c r="C53" s="32">
        <f t="shared" si="1"/>
        <v>38.5885714285711</v>
      </c>
      <c r="D53" s="32">
        <f t="shared" si="2"/>
        <v>41.623520710058806</v>
      </c>
      <c r="E53" s="43">
        <f t="shared" si="3"/>
        <v>572.85257142856995</v>
      </c>
      <c r="F53" s="44">
        <f t="shared" si="4"/>
        <v>924.82285714285786</v>
      </c>
      <c r="G53" s="44">
        <f t="shared" si="5"/>
        <v>-1359.1257142857139</v>
      </c>
      <c r="H53" s="44">
        <f t="shared" si="6"/>
        <v>-16.649408284023522</v>
      </c>
      <c r="I53" s="45">
        <f t="shared" ref="I53:I60" si="12">SUM(E53:H53)</f>
        <v>121.90030600169037</v>
      </c>
      <c r="J53">
        <f t="shared" si="7"/>
        <v>0</v>
      </c>
      <c r="L53" s="3" t="s">
        <v>179</v>
      </c>
      <c r="M53" s="105">
        <f>B75</f>
        <v>0.76938489466978355</v>
      </c>
    </row>
    <row r="54" spans="1:13" x14ac:dyDescent="0.25">
      <c r="A54" s="4">
        <f t="shared" si="11"/>
        <v>0.49999999999999956</v>
      </c>
      <c r="B54" s="32">
        <f t="shared" si="0"/>
        <v>2430.5357142857033</v>
      </c>
      <c r="C54" s="32">
        <f t="shared" si="1"/>
        <v>23.071428571428271</v>
      </c>
      <c r="D54" s="32">
        <f t="shared" si="2"/>
        <v>24.656488549618</v>
      </c>
      <c r="E54" s="43">
        <f t="shared" si="3"/>
        <v>437.49642857142658</v>
      </c>
      <c r="F54" s="44">
        <f t="shared" si="4"/>
        <v>955.85714285714346</v>
      </c>
      <c r="G54" s="44">
        <f t="shared" si="5"/>
        <v>-1321.5267857142851</v>
      </c>
      <c r="H54" s="44">
        <f t="shared" si="6"/>
        <v>-9.8625954198472012</v>
      </c>
      <c r="I54" s="45">
        <f t="shared" si="12"/>
        <v>61.964190294437621</v>
      </c>
      <c r="J54">
        <f t="shared" si="7"/>
        <v>0</v>
      </c>
      <c r="L54" s="71" t="s">
        <v>180</v>
      </c>
      <c r="M54" s="72">
        <f>C75</f>
        <v>471.52754735714797</v>
      </c>
    </row>
    <row r="55" spans="1:13" x14ac:dyDescent="0.25">
      <c r="A55" s="4">
        <f t="shared" si="11"/>
        <v>0.47999999999999954</v>
      </c>
      <c r="B55" s="32">
        <f t="shared" si="0"/>
        <v>1649.4571428571289</v>
      </c>
      <c r="C55" s="32">
        <f t="shared" si="1"/>
        <v>9.3902857142853975</v>
      </c>
      <c r="D55" s="32">
        <f t="shared" si="2"/>
        <v>9.9479387372113592</v>
      </c>
      <c r="E55" s="43">
        <f t="shared" si="3"/>
        <v>296.90228571428321</v>
      </c>
      <c r="F55" s="44">
        <f t="shared" si="4"/>
        <v>983.21942857142926</v>
      </c>
      <c r="G55" s="44">
        <f t="shared" si="5"/>
        <v>-1282.4728571428564</v>
      </c>
      <c r="H55" s="44">
        <f t="shared" si="6"/>
        <v>-3.9791754948845437</v>
      </c>
      <c r="I55" s="45">
        <f t="shared" si="12"/>
        <v>-6.3303183520284847</v>
      </c>
      <c r="J55">
        <f t="shared" si="7"/>
        <v>0</v>
      </c>
    </row>
    <row r="56" spans="1:13" x14ac:dyDescent="0.25">
      <c r="A56" s="4">
        <f t="shared" si="11"/>
        <v>0.45999999999999952</v>
      </c>
      <c r="B56" s="32">
        <f t="shared" si="0"/>
        <v>839.27857142855476</v>
      </c>
      <c r="C56" s="32">
        <f t="shared" si="1"/>
        <v>0</v>
      </c>
      <c r="D56" s="32">
        <f t="shared" si="2"/>
        <v>0</v>
      </c>
      <c r="E56" s="43">
        <f t="shared" si="3"/>
        <v>151.07014285713984</v>
      </c>
      <c r="F56" s="44">
        <f t="shared" si="4"/>
        <v>1002</v>
      </c>
      <c r="G56" s="44">
        <f t="shared" si="5"/>
        <v>-1241.9639285714277</v>
      </c>
      <c r="H56" s="44">
        <f t="shared" si="6"/>
        <v>0</v>
      </c>
      <c r="I56" s="45">
        <f t="shared" si="12"/>
        <v>-88.893785714287787</v>
      </c>
      <c r="J56">
        <f t="shared" si="7"/>
        <v>0</v>
      </c>
    </row>
    <row r="57" spans="1:13" x14ac:dyDescent="0.25">
      <c r="A57" s="4">
        <f t="shared" si="11"/>
        <v>0.4399999999999995</v>
      </c>
      <c r="B57" s="32">
        <f t="shared" si="0"/>
        <v>0</v>
      </c>
      <c r="C57" s="32">
        <f t="shared" si="1"/>
        <v>0</v>
      </c>
      <c r="D57" s="32">
        <f t="shared" si="2"/>
        <v>0</v>
      </c>
      <c r="E57" s="43">
        <f t="shared" si="3"/>
        <v>0</v>
      </c>
      <c r="F57" s="44">
        <f t="shared" si="4"/>
        <v>1002</v>
      </c>
      <c r="G57" s="44">
        <f t="shared" si="5"/>
        <v>-1200</v>
      </c>
      <c r="H57" s="44">
        <f t="shared" si="6"/>
        <v>0</v>
      </c>
      <c r="I57" s="45">
        <f t="shared" si="12"/>
        <v>-198</v>
      </c>
      <c r="J57">
        <f t="shared" si="7"/>
        <v>0</v>
      </c>
    </row>
    <row r="58" spans="1:13" x14ac:dyDescent="0.25">
      <c r="A58" s="4">
        <f t="shared" si="11"/>
        <v>0.41999999999999948</v>
      </c>
      <c r="B58" s="32">
        <f t="shared" si="0"/>
        <v>0</v>
      </c>
      <c r="C58" s="32">
        <f t="shared" si="1"/>
        <v>0</v>
      </c>
      <c r="D58" s="32">
        <f t="shared" si="2"/>
        <v>0</v>
      </c>
      <c r="E58" s="43">
        <f t="shared" si="3"/>
        <v>0</v>
      </c>
      <c r="F58" s="44">
        <f t="shared" si="4"/>
        <v>1002</v>
      </c>
      <c r="G58" s="44">
        <f t="shared" si="5"/>
        <v>-1200</v>
      </c>
      <c r="H58" s="44">
        <f t="shared" si="6"/>
        <v>0</v>
      </c>
      <c r="I58" s="45">
        <f t="shared" si="12"/>
        <v>-198</v>
      </c>
      <c r="J58">
        <f t="shared" si="7"/>
        <v>0</v>
      </c>
    </row>
    <row r="59" spans="1:13" x14ac:dyDescent="0.25">
      <c r="A59" s="4">
        <f t="shared" si="11"/>
        <v>0.39999999999999947</v>
      </c>
      <c r="B59" s="32">
        <f t="shared" si="0"/>
        <v>0</v>
      </c>
      <c r="C59" s="32">
        <f t="shared" si="1"/>
        <v>0</v>
      </c>
      <c r="D59" s="32">
        <f t="shared" si="2"/>
        <v>0</v>
      </c>
      <c r="E59" s="43">
        <f t="shared" si="3"/>
        <v>0</v>
      </c>
      <c r="F59" s="44">
        <f t="shared" si="4"/>
        <v>1002</v>
      </c>
      <c r="G59" s="44">
        <f t="shared" si="5"/>
        <v>-1200</v>
      </c>
      <c r="H59" s="44">
        <f t="shared" si="6"/>
        <v>0</v>
      </c>
      <c r="I59" s="45">
        <f t="shared" si="12"/>
        <v>-198</v>
      </c>
      <c r="J59">
        <f t="shared" si="7"/>
        <v>0</v>
      </c>
    </row>
    <row r="60" spans="1:13" x14ac:dyDescent="0.25">
      <c r="A60" s="4">
        <f t="shared" si="11"/>
        <v>0.37999999999999945</v>
      </c>
      <c r="B60" s="32">
        <f t="shared" si="0"/>
        <v>0</v>
      </c>
      <c r="C60" s="32">
        <f t="shared" si="1"/>
        <v>0</v>
      </c>
      <c r="D60" s="32">
        <f t="shared" si="2"/>
        <v>0</v>
      </c>
      <c r="E60" s="43">
        <f t="shared" si="3"/>
        <v>0</v>
      </c>
      <c r="F60" s="44">
        <f t="shared" si="4"/>
        <v>1002</v>
      </c>
      <c r="G60" s="44">
        <f t="shared" si="5"/>
        <v>-1200</v>
      </c>
      <c r="H60" s="44">
        <f t="shared" si="6"/>
        <v>0</v>
      </c>
      <c r="I60" s="45">
        <f t="shared" si="12"/>
        <v>-198</v>
      </c>
      <c r="J60">
        <f t="shared" si="7"/>
        <v>0</v>
      </c>
    </row>
    <row r="61" spans="1:13" x14ac:dyDescent="0.25">
      <c r="A61" s="4">
        <f t="shared" ref="A61:A64" si="13">A60-0.02</f>
        <v>0.35999999999999943</v>
      </c>
      <c r="B61" s="32">
        <f t="shared" si="0"/>
        <v>0</v>
      </c>
      <c r="C61" s="32">
        <f t="shared" si="1"/>
        <v>0</v>
      </c>
      <c r="D61" s="32">
        <f t="shared" si="2"/>
        <v>0</v>
      </c>
      <c r="E61" s="43">
        <f t="shared" si="3"/>
        <v>0</v>
      </c>
      <c r="F61" s="44">
        <f t="shared" si="4"/>
        <v>1002</v>
      </c>
      <c r="G61" s="44">
        <f t="shared" si="5"/>
        <v>-1200</v>
      </c>
      <c r="H61" s="44">
        <f t="shared" si="6"/>
        <v>0</v>
      </c>
      <c r="I61" s="45">
        <f t="shared" ref="I61:I64" si="14">SUM(E61:H61)</f>
        <v>-198</v>
      </c>
      <c r="J61">
        <f t="shared" si="7"/>
        <v>0</v>
      </c>
    </row>
    <row r="62" spans="1:13" x14ac:dyDescent="0.25">
      <c r="A62" s="4">
        <f t="shared" si="13"/>
        <v>0.33999999999999941</v>
      </c>
      <c r="B62" s="32">
        <f t="shared" si="0"/>
        <v>0</v>
      </c>
      <c r="C62" s="32">
        <f t="shared" si="1"/>
        <v>0</v>
      </c>
      <c r="D62" s="32">
        <f t="shared" si="2"/>
        <v>0</v>
      </c>
      <c r="E62" s="43">
        <f t="shared" si="3"/>
        <v>0</v>
      </c>
      <c r="F62" s="44">
        <f t="shared" si="4"/>
        <v>1002</v>
      </c>
      <c r="G62" s="44">
        <f t="shared" si="5"/>
        <v>-1200</v>
      </c>
      <c r="H62" s="44">
        <f t="shared" si="6"/>
        <v>0</v>
      </c>
      <c r="I62" s="45">
        <f t="shared" si="14"/>
        <v>-198</v>
      </c>
      <c r="J62">
        <f t="shared" si="7"/>
        <v>0</v>
      </c>
    </row>
    <row r="63" spans="1:13" x14ac:dyDescent="0.25">
      <c r="A63" s="4">
        <f t="shared" si="13"/>
        <v>0.3199999999999994</v>
      </c>
      <c r="B63" s="32">
        <f t="shared" si="0"/>
        <v>0</v>
      </c>
      <c r="C63" s="32">
        <f t="shared" si="1"/>
        <v>0</v>
      </c>
      <c r="D63" s="32">
        <f t="shared" si="2"/>
        <v>0</v>
      </c>
      <c r="E63" s="43">
        <f t="shared" si="3"/>
        <v>0</v>
      </c>
      <c r="F63" s="44">
        <f t="shared" si="4"/>
        <v>1002</v>
      </c>
      <c r="G63" s="44">
        <f t="shared" si="5"/>
        <v>-1200</v>
      </c>
      <c r="H63" s="44">
        <f t="shared" si="6"/>
        <v>0</v>
      </c>
      <c r="I63" s="45">
        <f t="shared" si="14"/>
        <v>-198</v>
      </c>
      <c r="J63">
        <f t="shared" si="7"/>
        <v>0</v>
      </c>
    </row>
    <row r="64" spans="1:13" x14ac:dyDescent="0.25">
      <c r="A64" s="5">
        <f t="shared" si="13"/>
        <v>0.29999999999999938</v>
      </c>
      <c r="B64" s="33">
        <f t="shared" si="0"/>
        <v>0</v>
      </c>
      <c r="C64" s="33">
        <f t="shared" si="1"/>
        <v>0</v>
      </c>
      <c r="D64" s="33">
        <f t="shared" si="2"/>
        <v>0</v>
      </c>
      <c r="E64" s="46">
        <f t="shared" si="3"/>
        <v>0</v>
      </c>
      <c r="F64" s="47">
        <f t="shared" si="4"/>
        <v>1002</v>
      </c>
      <c r="G64" s="47">
        <f t="shared" si="5"/>
        <v>-1200</v>
      </c>
      <c r="H64" s="47">
        <f t="shared" si="6"/>
        <v>0</v>
      </c>
      <c r="I64" s="48">
        <f t="shared" si="14"/>
        <v>-198</v>
      </c>
      <c r="J64">
        <f t="shared" si="7"/>
        <v>0</v>
      </c>
    </row>
    <row r="65" spans="1:14" x14ac:dyDescent="0.25">
      <c r="A65" s="14"/>
      <c r="B65" s="32"/>
      <c r="C65" s="32"/>
      <c r="D65" s="32"/>
      <c r="E65" s="43"/>
      <c r="F65" s="44"/>
      <c r="G65" s="44"/>
      <c r="H65" s="44"/>
      <c r="I65" s="44"/>
    </row>
    <row r="66" spans="1:14" x14ac:dyDescent="0.25">
      <c r="A66" s="64" t="s">
        <v>192</v>
      </c>
      <c r="B66" s="32"/>
      <c r="C66" s="32"/>
      <c r="D66" s="32"/>
      <c r="E66" s="28" t="s">
        <v>117</v>
      </c>
      <c r="F66" s="44"/>
      <c r="G66" s="44"/>
      <c r="H66" s="44"/>
      <c r="I66" s="44"/>
    </row>
    <row r="67" spans="1:14" x14ac:dyDescent="0.25">
      <c r="A67" s="1" t="s">
        <v>5</v>
      </c>
      <c r="B67" s="28" t="s">
        <v>91</v>
      </c>
      <c r="C67" s="24" t="s">
        <v>87</v>
      </c>
      <c r="D67" s="1" t="s">
        <v>94</v>
      </c>
      <c r="E67" s="1" t="s">
        <v>31</v>
      </c>
      <c r="F67" s="1" t="s">
        <v>35</v>
      </c>
      <c r="G67" s="1" t="s">
        <v>37</v>
      </c>
      <c r="H67" s="1" t="s">
        <v>38</v>
      </c>
      <c r="I67" s="1" t="s">
        <v>39</v>
      </c>
      <c r="J67" s="1" t="s">
        <v>40</v>
      </c>
      <c r="K67" s="1" t="s">
        <v>41</v>
      </c>
      <c r="L67" s="1" t="s">
        <v>17</v>
      </c>
      <c r="N67" s="1"/>
    </row>
    <row r="68" spans="1:14" x14ac:dyDescent="0.25">
      <c r="A68" s="85"/>
      <c r="B68" s="85">
        <f>B6</f>
        <v>12500</v>
      </c>
      <c r="C68" s="94">
        <f>L23</f>
        <v>630</v>
      </c>
      <c r="D68" s="94">
        <f>L24</f>
        <v>215</v>
      </c>
      <c r="E68" s="94">
        <f>L25</f>
        <v>80</v>
      </c>
      <c r="F68" s="85">
        <f>C6</f>
        <v>501</v>
      </c>
      <c r="G68" s="114">
        <f>E6</f>
        <v>0.18</v>
      </c>
      <c r="H68" s="115">
        <f>F6*10</f>
        <v>2</v>
      </c>
      <c r="I68" s="115">
        <f>G6</f>
        <v>0.05</v>
      </c>
      <c r="J68" s="116">
        <f>H6</f>
        <v>1200</v>
      </c>
      <c r="K68" s="117">
        <f>I6*10</f>
        <v>0.4</v>
      </c>
      <c r="L68" s="119">
        <f>D75</f>
        <v>0.78590368365103735</v>
      </c>
      <c r="N68" s="1"/>
    </row>
    <row r="69" spans="1:14" x14ac:dyDescent="0.25">
      <c r="A69" s="29" t="s">
        <v>20</v>
      </c>
      <c r="B69" s="30" t="s">
        <v>21</v>
      </c>
      <c r="C69" s="31" t="s">
        <v>22</v>
      </c>
      <c r="D69" s="30" t="s">
        <v>25</v>
      </c>
      <c r="E69" s="30" t="s">
        <v>26</v>
      </c>
      <c r="F69" s="31" t="s">
        <v>27</v>
      </c>
      <c r="G69" s="30" t="s">
        <v>28</v>
      </c>
      <c r="H69" s="30" t="s">
        <v>29</v>
      </c>
      <c r="I69" s="31" t="s">
        <v>30</v>
      </c>
      <c r="J69" s="30" t="s">
        <v>32</v>
      </c>
      <c r="K69" s="30" t="s">
        <v>33</v>
      </c>
      <c r="L69" s="31" t="s">
        <v>34</v>
      </c>
    </row>
    <row r="70" spans="1:14" x14ac:dyDescent="0.25">
      <c r="A70" s="114">
        <f>N11</f>
        <v>-2.0661142857142853</v>
      </c>
      <c r="B70" s="114">
        <f>N12</f>
        <v>5.9761142857142859</v>
      </c>
      <c r="C70" s="114">
        <f>N13</f>
        <v>-2.91</v>
      </c>
      <c r="D70" s="118">
        <f>N14</f>
        <v>0.87142857142857133</v>
      </c>
      <c r="E70" s="114">
        <f>N15</f>
        <v>0.72857142857142865</v>
      </c>
      <c r="F70" s="114">
        <f>N16</f>
        <v>-1</v>
      </c>
      <c r="G70" s="118">
        <f>N17</f>
        <v>1</v>
      </c>
      <c r="H70" s="114">
        <f>N18</f>
        <v>1</v>
      </c>
      <c r="I70" s="114">
        <f>N19</f>
        <v>-2</v>
      </c>
      <c r="J70" s="118">
        <f>N20</f>
        <v>1.0214285714285714</v>
      </c>
      <c r="K70" s="114">
        <f>N21</f>
        <v>7.857142857142857E-2</v>
      </c>
      <c r="L70" s="114">
        <f>N22</f>
        <v>-0.5</v>
      </c>
    </row>
    <row r="71" spans="1:14" x14ac:dyDescent="0.25">
      <c r="A71" s="2" t="s">
        <v>202</v>
      </c>
      <c r="G71" s="1"/>
      <c r="H71" s="1"/>
      <c r="I71" s="1"/>
    </row>
    <row r="72" spans="1:14" ht="18" x14ac:dyDescent="0.35">
      <c r="A72" s="3" t="s">
        <v>17</v>
      </c>
      <c r="B72" s="11" t="s">
        <v>179</v>
      </c>
      <c r="C72" s="11" t="s">
        <v>111</v>
      </c>
      <c r="D72" s="11" t="s">
        <v>17</v>
      </c>
      <c r="E72" s="3" t="s">
        <v>5</v>
      </c>
      <c r="F72" s="6" t="s">
        <v>201</v>
      </c>
    </row>
    <row r="73" spans="1:14" x14ac:dyDescent="0.25">
      <c r="A73" s="40">
        <v>0.75</v>
      </c>
      <c r="B73" s="73">
        <f>-($G$68*$B$68*$B$70-$H$68*$C$68+$H$68*$D$68*$E$70+$H$68*$E$68*$H$70-$I$68*$B$68*$B$70-$K$68*$C$68/A73+$K$68*$D$68*$E$70/A73+$K$68*$E$68*$H$70/$A$73)/(2*($G$68*$B$68*$C$70+$H$68*$D$68*$F$70+$H$68*$E$68*$I$70-$I$68*$B$68*$C$70+$K$68*$D$68*$F$70/A73+$K$68*$E$68*$I$70/A73))</f>
        <v>0.76730626919488887</v>
      </c>
      <c r="C73" s="43">
        <f>$G$68*$B$68*($A$70+$B$70*B73+$C$70*B73^2)+$H$68*($F$68-($C$68*B73-$D$68*($D$70+$E$70*B73+$F$70*B73^2)-$E$68*($G$70+$H$70*B73+$I$70*B73^2)))-$I$68*$B$68*($A$70+$B$70*B73+$C$70*B73^2)-$J$68-$K$68*(($C$68*B73-$D$68*($D$70+$E$70*B73+$F$70*B73^2)-$E$68*($G$70+$H$70*B73+$I$70*B73^2))/($J$70+$K$70*B73+$L$70*B73^2))</f>
        <v>471.73955929538704</v>
      </c>
      <c r="D73" s="73">
        <f>$J$70+$K$70*B73+$L$70*B73*B73</f>
        <v>0.78733746577813735</v>
      </c>
      <c r="E73" s="4">
        <v>1</v>
      </c>
      <c r="F73" s="120">
        <f t="shared" ref="F73:F96" si="15">(G$68*B$68*A$70+H$68*F$68+H$68*D$68*D$70+H$68*E$68*G$70-I$68*B$68*A$70-J$68+K$68*D$68*D$70/L$68+K$68*E$68*G$70/L$68)+(G$68*B$68*B$70-H$68*C$68+H$68*D$68*E$70+H$68*E$68*H$70-I$68*B$68*B$70-K$68*C$68/L$68+K$68*D$68*E$70/L$68+K$68*E$68*H$70/L$68)*E73+(G$68*B$68*C$70+H$68*D$68*F$70+H$68*E$68*I$70-I$68*B$68*C$70+K$68*D$68*F$70/L$68+K$68*E$68*I$70/L$68)*E73^2</f>
        <v>170.00692111657918</v>
      </c>
    </row>
    <row r="74" spans="1:14" x14ac:dyDescent="0.25">
      <c r="A74" s="74">
        <f>D73</f>
        <v>0.78733746577813735</v>
      </c>
      <c r="B74" s="73">
        <f>-($G$68*$B$68*$B$70-$H$68*$C$68+$H$68*$D$68*$E$70+$H$68*$E$68*$H$70-$I$68*$B$68*$B$70-$K$68*$C$68/A74+$K$68*$D$68*$E$70/A74+$K$68*$E$68*$H$70/$A$74)/(2*($G$68*$B$68*$C$70+$H$68*$D$68*$F$70+$H$68*$E$68*$I$70-$I$68*$B$68*$C$70+$K$68*$D$68*$F$70/A74+$K$68*$E$68*$I$70/A74))</f>
        <v>0.76946737734627546</v>
      </c>
      <c r="C74" s="43">
        <f>$G$68*$B$68*($A$70+$B$70*B74+$C$70*B74^2)+$H$68*($F$68-($C$68*B74-$D$68*($D$70+$E$70*B74+$F$70*B74^2)-$E$68*($G$70+$H$70*B74+$I$70*B74^2)))-$I$68*$B$68*($A$70+$B$70*B74+$C$70*B74^2)-$J$68-$K$68*(($C$68*B74-$D$68*($D$70+$E$70*B74+$F$70*B74^2)-$E$68*($G$70+$H$70*B74+$I$70*B74^2))/($J$70+$K$70*B74+$L$70*B74^2))</f>
        <v>471.51801392349978</v>
      </c>
      <c r="D74" s="73">
        <f>$J$70+$K$70*B74+$L$70*B74*B74</f>
        <v>0.7858467001057009</v>
      </c>
      <c r="E74" s="4">
        <f>E73-0.02</f>
        <v>0.98</v>
      </c>
      <c r="F74" s="120">
        <f t="shared" si="15"/>
        <v>220.03829633871919</v>
      </c>
    </row>
    <row r="75" spans="1:14" x14ac:dyDescent="0.25">
      <c r="A75" s="75">
        <f>D74</f>
        <v>0.7858467001057009</v>
      </c>
      <c r="B75" s="76">
        <f>-($G$68*$B$68*$B$70-$H$68*$C$68+$H$68*$D$68*$E$70+$H$68*$E$68*$H$70-$I$68*$B$68*$B$70-$K$68*$C$68/A75+$K$68*$D$68*$E$70/A75+$K$68*$E$68*$H$70/$A$75)/(2*($G$68*$B$68*$C$70+$H$68*$D$68*$F$70+$H$68*$E$68*$I$70-$I$68*$B$68*$C$70+$K$68*$D$68*$F$70/A75+$K$68*$E$68*$I$70/A75))</f>
        <v>0.76938489466978355</v>
      </c>
      <c r="C75" s="46">
        <f>$G$68*$B$68*($A$70+$B$70*B75+$C$70*B75^2)+$H$68*($F$68-($C$68*B75-$D$68*($D$70+$E$70*B75+$F$70*B75^2)-$E$68*($G$70+$H$70*B75+$I$70*B75^2)))-$I$68*$B$68*($A$70+$B$70*B75+$C$70*B75^2)-$J$68-$K$68*(($C$68*B75-$D$68*($D$70+$E$70*B75+$F$70*B75^2)-$E$68*($G$70+$H$70*B75+$I$70*B75^2))/($J$70+$K$70*B75+$L$70*B75^2))</f>
        <v>471.52754735714797</v>
      </c>
      <c r="D75" s="76">
        <f>$J$70+$K$70*B75+$L$70*B75*B75</f>
        <v>0.78590368365103735</v>
      </c>
      <c r="E75" s="4">
        <f t="shared" ref="E75:E96" si="16">E74-0.02</f>
        <v>0.96</v>
      </c>
      <c r="F75" s="120">
        <f t="shared" si="15"/>
        <v>265.5339810944588</v>
      </c>
    </row>
    <row r="76" spans="1:14" x14ac:dyDescent="0.25">
      <c r="E76" s="4">
        <f t="shared" si="16"/>
        <v>0.94</v>
      </c>
      <c r="F76" s="120">
        <f t="shared" si="15"/>
        <v>306.49397538380435</v>
      </c>
    </row>
    <row r="77" spans="1:14" x14ac:dyDescent="0.25">
      <c r="E77" s="4">
        <f t="shared" si="16"/>
        <v>0.91999999999999993</v>
      </c>
      <c r="F77" s="120">
        <f t="shared" si="15"/>
        <v>342.91827920675223</v>
      </c>
    </row>
    <row r="78" spans="1:14" x14ac:dyDescent="0.25">
      <c r="E78" s="4">
        <f t="shared" si="16"/>
        <v>0.89999999999999991</v>
      </c>
      <c r="F78" s="120">
        <f t="shared" si="15"/>
        <v>374.80689256330243</v>
      </c>
    </row>
    <row r="79" spans="1:14" x14ac:dyDescent="0.25">
      <c r="E79" s="4">
        <f t="shared" si="16"/>
        <v>0.87999999999999989</v>
      </c>
      <c r="F79" s="120">
        <f t="shared" si="15"/>
        <v>402.15981545345403</v>
      </c>
    </row>
    <row r="80" spans="1:14" x14ac:dyDescent="0.25">
      <c r="E80" s="4">
        <f t="shared" si="16"/>
        <v>0.85999999999999988</v>
      </c>
      <c r="F80" s="120">
        <f t="shared" si="15"/>
        <v>424.97704787720977</v>
      </c>
    </row>
    <row r="81" spans="3:6" x14ac:dyDescent="0.25">
      <c r="E81" s="4">
        <f t="shared" si="16"/>
        <v>0.83999999999999986</v>
      </c>
      <c r="F81" s="120">
        <f t="shared" si="15"/>
        <v>443.25858983456828</v>
      </c>
    </row>
    <row r="82" spans="3:6" x14ac:dyDescent="0.25">
      <c r="E82" s="4">
        <f t="shared" si="16"/>
        <v>0.81999999999999984</v>
      </c>
      <c r="F82" s="120">
        <f t="shared" si="15"/>
        <v>457.00444132552911</v>
      </c>
    </row>
    <row r="83" spans="3:6" x14ac:dyDescent="0.25">
      <c r="E83" s="4">
        <f t="shared" si="16"/>
        <v>0.79999999999999982</v>
      </c>
      <c r="F83" s="120">
        <f t="shared" si="15"/>
        <v>466.21460235009272</v>
      </c>
    </row>
    <row r="84" spans="3:6" x14ac:dyDescent="0.25">
      <c r="E84" s="4">
        <f t="shared" si="16"/>
        <v>0.7799999999999998</v>
      </c>
      <c r="F84" s="120">
        <f t="shared" si="15"/>
        <v>470.88907290825955</v>
      </c>
    </row>
    <row r="85" spans="3:6" x14ac:dyDescent="0.25">
      <c r="E85" s="4">
        <f t="shared" si="16"/>
        <v>0.75999999999999979</v>
      </c>
      <c r="F85" s="120">
        <f t="shared" si="15"/>
        <v>471.0278530000287</v>
      </c>
    </row>
    <row r="86" spans="3:6" x14ac:dyDescent="0.25">
      <c r="E86" s="4">
        <f t="shared" si="16"/>
        <v>0.73999999999999977</v>
      </c>
      <c r="F86" s="120">
        <f t="shared" si="15"/>
        <v>466.63094262540108</v>
      </c>
    </row>
    <row r="87" spans="3:6" x14ac:dyDescent="0.25">
      <c r="E87" s="4">
        <f t="shared" si="16"/>
        <v>0.71999999999999975</v>
      </c>
      <c r="F87" s="120">
        <f t="shared" si="15"/>
        <v>457.69834178437532</v>
      </c>
    </row>
    <row r="88" spans="3:6" x14ac:dyDescent="0.25">
      <c r="E88" s="4">
        <f t="shared" si="16"/>
        <v>0.69999999999999973</v>
      </c>
      <c r="F88" s="120">
        <f t="shared" si="15"/>
        <v>444.23005047695233</v>
      </c>
    </row>
    <row r="89" spans="3:6" x14ac:dyDescent="0.25">
      <c r="E89" s="4">
        <f t="shared" si="16"/>
        <v>0.67999999999999972</v>
      </c>
      <c r="F89" s="120">
        <f t="shared" si="15"/>
        <v>426.22606870313302</v>
      </c>
    </row>
    <row r="90" spans="3:6" x14ac:dyDescent="0.25">
      <c r="E90" s="4">
        <f t="shared" si="16"/>
        <v>0.6599999999999997</v>
      </c>
      <c r="F90" s="120">
        <f t="shared" si="15"/>
        <v>403.68639646291558</v>
      </c>
    </row>
    <row r="91" spans="3:6" x14ac:dyDescent="0.25">
      <c r="E91" s="4">
        <f t="shared" si="16"/>
        <v>0.63999999999999968</v>
      </c>
      <c r="F91" s="120">
        <f t="shared" si="15"/>
        <v>376.61103375630091</v>
      </c>
    </row>
    <row r="92" spans="3:6" x14ac:dyDescent="0.25">
      <c r="E92" s="4">
        <f t="shared" si="16"/>
        <v>0.61999999999999966</v>
      </c>
      <c r="F92" s="120">
        <f t="shared" si="15"/>
        <v>344.99998058328993</v>
      </c>
    </row>
    <row r="93" spans="3:6" x14ac:dyDescent="0.25">
      <c r="E93" s="4">
        <f t="shared" si="16"/>
        <v>0.59999999999999964</v>
      </c>
      <c r="F93" s="120">
        <f t="shared" si="15"/>
        <v>308.85323694388035</v>
      </c>
    </row>
    <row r="94" spans="3:6" x14ac:dyDescent="0.25">
      <c r="E94" s="4">
        <f t="shared" si="16"/>
        <v>0.57999999999999963</v>
      </c>
      <c r="F94" s="120">
        <f t="shared" si="15"/>
        <v>268.17080283807377</v>
      </c>
    </row>
    <row r="95" spans="3:6" x14ac:dyDescent="0.25">
      <c r="E95" s="4">
        <f t="shared" si="16"/>
        <v>0.55999999999999961</v>
      </c>
      <c r="F95" s="120">
        <f t="shared" si="15"/>
        <v>222.9526782658711</v>
      </c>
    </row>
    <row r="96" spans="3:6" x14ac:dyDescent="0.25">
      <c r="C96" s="53"/>
      <c r="E96" s="5">
        <f t="shared" si="16"/>
        <v>0.53999999999999959</v>
      </c>
      <c r="F96" s="121">
        <f t="shared" si="15"/>
        <v>173.19886322726961</v>
      </c>
    </row>
    <row r="97" spans="3:8" x14ac:dyDescent="0.25">
      <c r="C97" s="53"/>
    </row>
    <row r="98" spans="3:8" x14ac:dyDescent="0.25">
      <c r="C98" s="53"/>
    </row>
    <row r="100" spans="3:8" x14ac:dyDescent="0.25">
      <c r="C100" s="53"/>
      <c r="D100" s="37"/>
      <c r="E100" s="37"/>
      <c r="F100" s="37"/>
      <c r="H100" s="10"/>
    </row>
  </sheetData>
  <mergeCells count="2">
    <mergeCell ref="K10:L10"/>
    <mergeCell ref="M10:N10"/>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CBF16-C745-4853-9BA3-17E9585B3F65}">
  <dimension ref="A1:S89"/>
  <sheetViews>
    <sheetView workbookViewId="0">
      <selection activeCell="M55" sqref="M55"/>
    </sheetView>
  </sheetViews>
  <sheetFormatPr defaultRowHeight="15" x14ac:dyDescent="0.25"/>
  <cols>
    <col min="1" max="1" width="9.85546875" customWidth="1"/>
    <col min="2" max="2" width="9.5703125" customWidth="1"/>
    <col min="3" max="3" width="9" customWidth="1"/>
    <col min="4" max="4" width="7.7109375" customWidth="1"/>
    <col min="5" max="5" width="9" customWidth="1"/>
    <col min="6" max="6" width="11.140625" customWidth="1"/>
    <col min="7" max="8" width="9.42578125" customWidth="1"/>
    <col min="9" max="9" width="10" customWidth="1"/>
    <col min="11" max="11" width="9.42578125" customWidth="1"/>
    <col min="14" max="14" width="9.42578125" customWidth="1"/>
  </cols>
  <sheetData>
    <row r="1" spans="1:15" ht="18" x14ac:dyDescent="0.35">
      <c r="A1" s="2" t="s">
        <v>204</v>
      </c>
    </row>
    <row r="2" spans="1:15" x14ac:dyDescent="0.25">
      <c r="A2" t="s">
        <v>203</v>
      </c>
    </row>
    <row r="3" spans="1:15" ht="18" x14ac:dyDescent="0.35">
      <c r="A3" t="s">
        <v>205</v>
      </c>
      <c r="K3" s="109" t="s">
        <v>124</v>
      </c>
    </row>
    <row r="4" spans="1:15" x14ac:dyDescent="0.25">
      <c r="E4" s="2" t="s">
        <v>36</v>
      </c>
      <c r="K4" s="109"/>
    </row>
    <row r="5" spans="1:15" ht="17.25" x14ac:dyDescent="0.25">
      <c r="B5" s="28" t="s">
        <v>92</v>
      </c>
      <c r="C5" s="1" t="s">
        <v>206</v>
      </c>
      <c r="E5" s="1" t="s">
        <v>37</v>
      </c>
      <c r="F5" s="1" t="s">
        <v>103</v>
      </c>
      <c r="G5" s="1" t="s">
        <v>39</v>
      </c>
      <c r="H5" s="1" t="s">
        <v>185</v>
      </c>
      <c r="I5" s="1" t="s">
        <v>104</v>
      </c>
      <c r="K5" s="1" t="s">
        <v>37</v>
      </c>
      <c r="L5" s="1" t="s">
        <v>103</v>
      </c>
      <c r="M5" s="1" t="s">
        <v>39</v>
      </c>
      <c r="N5" s="1" t="s">
        <v>40</v>
      </c>
      <c r="O5" s="1" t="s">
        <v>104</v>
      </c>
    </row>
    <row r="6" spans="1:15" x14ac:dyDescent="0.25">
      <c r="A6" s="1"/>
      <c r="B6" s="40">
        <v>12500</v>
      </c>
      <c r="C6" s="40">
        <v>835</v>
      </c>
      <c r="D6" s="84">
        <f>(L23-L24*L14-L25*L17)/L20</f>
        <v>835</v>
      </c>
      <c r="E6" s="55">
        <v>0.18</v>
      </c>
      <c r="F6" s="55">
        <v>0.2</v>
      </c>
      <c r="G6" s="55">
        <v>0.05</v>
      </c>
      <c r="H6" s="56">
        <v>1200</v>
      </c>
      <c r="I6" s="55">
        <v>0.04</v>
      </c>
      <c r="K6" s="68">
        <v>0.18</v>
      </c>
      <c r="L6" s="68">
        <v>0.2</v>
      </c>
      <c r="M6" s="68">
        <v>0.05</v>
      </c>
      <c r="N6" s="69">
        <v>1200</v>
      </c>
      <c r="O6" s="68">
        <v>0.04</v>
      </c>
    </row>
    <row r="7" spans="1:15" ht="17.25" x14ac:dyDescent="0.25">
      <c r="B7" s="1" t="s">
        <v>193</v>
      </c>
      <c r="E7" s="1" t="s">
        <v>101</v>
      </c>
      <c r="F7" s="1" t="s">
        <v>186</v>
      </c>
      <c r="G7" s="1" t="s">
        <v>102</v>
      </c>
      <c r="H7" s="1" t="s">
        <v>187</v>
      </c>
      <c r="I7" s="1" t="s">
        <v>188</v>
      </c>
      <c r="K7" s="28" t="s">
        <v>126</v>
      </c>
    </row>
    <row r="8" spans="1:15" x14ac:dyDescent="0.25">
      <c r="B8" s="113">
        <f>B6*2.2/56/2.47</f>
        <v>198.81434355118566</v>
      </c>
      <c r="E8" s="58">
        <f>E6*56/2.2</f>
        <v>4.5818181818181811</v>
      </c>
      <c r="F8" s="60">
        <f>10*F6*305/2.47</f>
        <v>246.96356275303643</v>
      </c>
      <c r="G8" s="58">
        <f>G6*56/2.2</f>
        <v>1.2727272727272727</v>
      </c>
      <c r="H8" s="59">
        <f>H6/2.47</f>
        <v>485.82995951417001</v>
      </c>
      <c r="I8" s="58">
        <f>10*I6*305/2.47</f>
        <v>49.392712550607285</v>
      </c>
    </row>
    <row r="9" spans="1:15" ht="15.75" customHeight="1" x14ac:dyDescent="0.25">
      <c r="A9" s="110" t="s">
        <v>189</v>
      </c>
      <c r="B9" s="111" t="s">
        <v>5</v>
      </c>
      <c r="C9" s="112">
        <v>0.8</v>
      </c>
    </row>
    <row r="10" spans="1:15" ht="30" x14ac:dyDescent="0.25">
      <c r="A10" s="78" t="s">
        <v>24</v>
      </c>
      <c r="B10" s="18"/>
      <c r="C10" s="18"/>
      <c r="D10" s="19"/>
      <c r="E10" s="99" t="s">
        <v>112</v>
      </c>
      <c r="F10" s="100" t="s">
        <v>194</v>
      </c>
      <c r="G10" s="100" t="s">
        <v>113</v>
      </c>
      <c r="H10" s="100" t="s">
        <v>114</v>
      </c>
      <c r="I10" s="101" t="s">
        <v>115</v>
      </c>
      <c r="K10" s="126" t="s">
        <v>184</v>
      </c>
      <c r="L10" s="127"/>
      <c r="M10" s="128" t="s">
        <v>195</v>
      </c>
      <c r="N10" s="128"/>
    </row>
    <row r="11" spans="1:15" ht="18.75" x14ac:dyDescent="0.35">
      <c r="A11" s="4" t="s">
        <v>95</v>
      </c>
      <c r="B11" s="14"/>
      <c r="C11" s="97">
        <f>B6*(MAX(0,N11+N12*C$9+N13*C$9*C$9))</f>
        <v>10654.714285714286</v>
      </c>
      <c r="D11" s="107" t="s">
        <v>23</v>
      </c>
      <c r="E11" s="23" t="s">
        <v>42</v>
      </c>
      <c r="F11" s="63" t="s">
        <v>207</v>
      </c>
      <c r="G11" s="15" t="s">
        <v>43</v>
      </c>
      <c r="H11" s="15" t="s">
        <v>105</v>
      </c>
      <c r="I11" s="77" t="s">
        <v>116</v>
      </c>
      <c r="K11" s="3" t="s">
        <v>53</v>
      </c>
      <c r="L11" s="84">
        <f>'WPF Model'!B6</f>
        <v>0.44</v>
      </c>
      <c r="M11" s="3" t="s">
        <v>49</v>
      </c>
      <c r="N11" s="96">
        <f>(L12-L11+L13*L11-L13*L11^2)/(1-L11)</f>
        <v>-2.0661142857142853</v>
      </c>
    </row>
    <row r="12" spans="1:15" ht="18" x14ac:dyDescent="0.35">
      <c r="A12" s="86" t="s">
        <v>196</v>
      </c>
      <c r="B12" s="14"/>
      <c r="C12" s="65"/>
      <c r="D12" s="107"/>
      <c r="E12" s="102">
        <f>E6*C11</f>
        <v>1917.8485714285714</v>
      </c>
      <c r="F12" s="103">
        <f>F6*10*(C6-C21)</f>
        <v>918.11214953271008</v>
      </c>
      <c r="G12" s="103">
        <f>-(G6*C11+H6)</f>
        <v>-1732.7357142857145</v>
      </c>
      <c r="H12" s="103">
        <f>-(I6*10*C21)</f>
        <v>-150.37757009345799</v>
      </c>
      <c r="I12" s="104">
        <f>SUM(E12:H12)</f>
        <v>952.84743658210891</v>
      </c>
      <c r="K12" s="23" t="s">
        <v>54</v>
      </c>
      <c r="L12" s="84">
        <f>'WPF Model'!B7</f>
        <v>0</v>
      </c>
      <c r="M12" s="23" t="s">
        <v>50</v>
      </c>
      <c r="N12" s="96">
        <f>(L12-1+L13-L13*L11^2)/(L11-1)</f>
        <v>5.9761142857142859</v>
      </c>
    </row>
    <row r="13" spans="1:15" ht="17.25" x14ac:dyDescent="0.25">
      <c r="A13" s="4" t="s">
        <v>129</v>
      </c>
      <c r="B13" s="14"/>
      <c r="C13" s="97">
        <f>L24*(MIN(1,N14+N15*C$9+N16*C$9*C$9))</f>
        <v>175.07142857142853</v>
      </c>
      <c r="D13" s="107" t="s">
        <v>15</v>
      </c>
      <c r="K13" s="71" t="s">
        <v>51</v>
      </c>
      <c r="L13" s="84">
        <f>'WPF Model'!B8</f>
        <v>-2.91</v>
      </c>
      <c r="M13" s="71" t="s">
        <v>51</v>
      </c>
      <c r="N13" s="84">
        <f>L13</f>
        <v>-2.91</v>
      </c>
    </row>
    <row r="14" spans="1:15" ht="18" x14ac:dyDescent="0.35">
      <c r="A14" s="86" t="s">
        <v>197</v>
      </c>
      <c r="B14" s="14"/>
      <c r="C14" s="65"/>
      <c r="D14" s="107"/>
      <c r="K14" s="3" t="s">
        <v>69</v>
      </c>
      <c r="L14" s="84">
        <f>IrrReq!B8</f>
        <v>0.6</v>
      </c>
      <c r="M14" s="1" t="s">
        <v>66</v>
      </c>
      <c r="N14" s="96">
        <f>$L14-$N15-$L16</f>
        <v>0.87142857142857133</v>
      </c>
      <c r="O14" s="12"/>
    </row>
    <row r="15" spans="1:15" ht="18.75" x14ac:dyDescent="0.35">
      <c r="A15" s="4" t="s">
        <v>96</v>
      </c>
      <c r="B15" s="14"/>
      <c r="C15" s="97">
        <f>L25*(MIN(1,N17+N18*C$9+N19*C$9*C$9))</f>
        <v>41.59999999999998</v>
      </c>
      <c r="D15" s="107" t="s">
        <v>15</v>
      </c>
      <c r="K15" s="23" t="s">
        <v>70</v>
      </c>
      <c r="L15" s="84">
        <f>IrrReq!B9</f>
        <v>0.3</v>
      </c>
      <c r="M15" s="1" t="s">
        <v>65</v>
      </c>
      <c r="N15" s="96">
        <f>($L14-1-$L16*(1-$L15*$L15))/(1-$L15)</f>
        <v>0.72857142857142865</v>
      </c>
      <c r="O15" s="12"/>
    </row>
    <row r="16" spans="1:15" x14ac:dyDescent="0.25">
      <c r="A16" s="86" t="s">
        <v>198</v>
      </c>
      <c r="B16" s="14"/>
      <c r="C16" s="65"/>
      <c r="D16" s="107"/>
      <c r="F16" s="10"/>
      <c r="K16" s="71" t="s">
        <v>64</v>
      </c>
      <c r="L16" s="84">
        <f>IrrReq!B10</f>
        <v>-1</v>
      </c>
      <c r="M16" s="71" t="s">
        <v>64</v>
      </c>
      <c r="N16" s="84">
        <f>L16</f>
        <v>-1</v>
      </c>
    </row>
    <row r="17" spans="1:19" ht="18.75" x14ac:dyDescent="0.35">
      <c r="A17" s="4" t="s">
        <v>59</v>
      </c>
      <c r="B17" s="14"/>
      <c r="C17" s="98">
        <f>MIN(1,(N20+N21*C$9+N22*C$9*C$9))</f>
        <v>0.76428571428571423</v>
      </c>
      <c r="D17" s="107"/>
      <c r="K17" s="3" t="s">
        <v>74</v>
      </c>
      <c r="L17" s="84">
        <f>IrrReq!B20</f>
        <v>0</v>
      </c>
      <c r="M17" s="1" t="s">
        <v>77</v>
      </c>
      <c r="N17" s="96">
        <f>$L17-$N18-$L19</f>
        <v>1</v>
      </c>
      <c r="O17" s="12"/>
    </row>
    <row r="18" spans="1:19" ht="18" x14ac:dyDescent="0.35">
      <c r="A18" s="86" t="s">
        <v>199</v>
      </c>
      <c r="B18" s="14"/>
      <c r="C18" s="14"/>
      <c r="D18" s="107"/>
      <c r="F18" s="10"/>
      <c r="K18" s="23" t="s">
        <v>75</v>
      </c>
      <c r="L18" s="84">
        <f>IrrReq!B21</f>
        <v>0.5</v>
      </c>
      <c r="M18" s="1" t="s">
        <v>78</v>
      </c>
      <c r="N18" s="96">
        <f>($L17-1-$L19*(1-$L18*$L18))/(1-$L18)</f>
        <v>1</v>
      </c>
      <c r="O18" s="12"/>
    </row>
    <row r="19" spans="1:19" ht="18" x14ac:dyDescent="0.35">
      <c r="A19" s="4" t="s">
        <v>97</v>
      </c>
      <c r="B19" s="14"/>
      <c r="C19" s="97">
        <f>MAX(C9*L23-C13-C15,0)</f>
        <v>287.32857142857148</v>
      </c>
      <c r="D19" s="107" t="s">
        <v>15</v>
      </c>
      <c r="K19" s="71" t="s">
        <v>76</v>
      </c>
      <c r="L19" s="84">
        <f>IrrReq!B22</f>
        <v>-2</v>
      </c>
      <c r="M19" s="71" t="s">
        <v>76</v>
      </c>
      <c r="N19" s="84">
        <f>L19</f>
        <v>-2</v>
      </c>
    </row>
    <row r="20" spans="1:19" ht="18" x14ac:dyDescent="0.35">
      <c r="A20" s="86" t="s">
        <v>200</v>
      </c>
      <c r="B20" s="14"/>
      <c r="C20" s="14"/>
      <c r="D20" s="107"/>
      <c r="F20" s="10"/>
      <c r="K20" s="3" t="s">
        <v>47</v>
      </c>
      <c r="L20" s="84">
        <f>IrrReq!B32</f>
        <v>0.6</v>
      </c>
      <c r="M20" s="1" t="s">
        <v>61</v>
      </c>
      <c r="N20" s="96">
        <f>$L20-$N21-$L22</f>
        <v>1.0214285714285714</v>
      </c>
    </row>
    <row r="21" spans="1:19" ht="18" x14ac:dyDescent="0.35">
      <c r="A21" s="5" t="s">
        <v>98</v>
      </c>
      <c r="B21" s="20"/>
      <c r="C21" s="106">
        <f>C19/C17</f>
        <v>375.94392523364496</v>
      </c>
      <c r="D21" s="108" t="s">
        <v>15</v>
      </c>
      <c r="K21" s="23" t="s">
        <v>128</v>
      </c>
      <c r="L21" s="84">
        <f>IrrReq!B33</f>
        <v>0.3</v>
      </c>
      <c r="M21" s="1" t="s">
        <v>62</v>
      </c>
      <c r="N21" s="96">
        <f>($L20-1-$L22*(1-$L21*$L21))/(1-$L21)</f>
        <v>7.857142857142857E-2</v>
      </c>
    </row>
    <row r="22" spans="1:19" x14ac:dyDescent="0.25">
      <c r="K22" s="71" t="s">
        <v>60</v>
      </c>
      <c r="L22" s="84">
        <f>IrrReq!B34</f>
        <v>-0.5</v>
      </c>
      <c r="M22" s="71" t="s">
        <v>60</v>
      </c>
      <c r="N22" s="84">
        <f>L22</f>
        <v>-0.5</v>
      </c>
    </row>
    <row r="23" spans="1:19" x14ac:dyDescent="0.25">
      <c r="K23" s="95" t="s">
        <v>93</v>
      </c>
      <c r="L23" s="94">
        <f>IrrReq!B44</f>
        <v>630</v>
      </c>
    </row>
    <row r="24" spans="1:19" x14ac:dyDescent="0.25">
      <c r="K24" s="23" t="s">
        <v>176</v>
      </c>
      <c r="L24" s="94">
        <f>IrrReq!B42</f>
        <v>215</v>
      </c>
    </row>
    <row r="25" spans="1:19" x14ac:dyDescent="0.25">
      <c r="A25" s="39"/>
      <c r="G25" s="2"/>
      <c r="K25" s="71" t="s">
        <v>177</v>
      </c>
      <c r="L25" s="94">
        <f>IrrReq!B43</f>
        <v>80</v>
      </c>
    </row>
    <row r="26" spans="1:19" x14ac:dyDescent="0.25">
      <c r="A26" s="2" t="s">
        <v>190</v>
      </c>
      <c r="B26" s="41" t="s">
        <v>191</v>
      </c>
    </row>
    <row r="27" spans="1:19" ht="18" x14ac:dyDescent="0.35">
      <c r="A27" s="3" t="s">
        <v>5</v>
      </c>
      <c r="B27" s="11" t="s">
        <v>6</v>
      </c>
      <c r="C27" s="11" t="s">
        <v>107</v>
      </c>
      <c r="D27" s="11" t="s">
        <v>108</v>
      </c>
      <c r="E27" s="11" t="s">
        <v>42</v>
      </c>
      <c r="F27" s="42" t="s">
        <v>207</v>
      </c>
      <c r="G27" s="11" t="s">
        <v>43</v>
      </c>
      <c r="H27" s="11" t="s">
        <v>105</v>
      </c>
      <c r="I27" s="6" t="s">
        <v>116</v>
      </c>
      <c r="R27" s="14"/>
      <c r="S27" s="26"/>
    </row>
    <row r="28" spans="1:19" x14ac:dyDescent="0.25">
      <c r="A28" s="23"/>
      <c r="B28" s="49" t="s">
        <v>45</v>
      </c>
      <c r="C28" s="49" t="s">
        <v>15</v>
      </c>
      <c r="D28" s="49" t="s">
        <v>15</v>
      </c>
      <c r="E28" s="49" t="s">
        <v>44</v>
      </c>
      <c r="F28" s="49" t="s">
        <v>44</v>
      </c>
      <c r="G28" s="49" t="s">
        <v>44</v>
      </c>
      <c r="H28" s="49" t="s">
        <v>44</v>
      </c>
      <c r="I28" s="50" t="s">
        <v>44</v>
      </c>
      <c r="R28" s="14"/>
      <c r="S28" s="26"/>
    </row>
    <row r="29" spans="1:19" x14ac:dyDescent="0.25">
      <c r="A29" s="4">
        <v>1</v>
      </c>
      <c r="B29" s="32">
        <f t="shared" ref="B29:B64" si="0">B$6*(MAX(0,N$11+N$12*A29+N$13*A29^2))</f>
        <v>12500.000000000005</v>
      </c>
      <c r="C29" s="32">
        <f t="shared" ref="C29:C64" si="1">MAX(A29*L$23-L$24*(MIN(1,N$14+N$15*A29+N$16*A29^2))-L$25*(MIN(1,N$17+N$18*A29+N$19*A29^2)),0)</f>
        <v>501</v>
      </c>
      <c r="D29" s="32">
        <f t="shared" ref="D29:D64" si="2">C29/(MIN(1,N$20+N$21*A29+N$22*A29^2))</f>
        <v>835.00000000000023</v>
      </c>
      <c r="E29" s="43">
        <f t="shared" ref="E29:E64" si="3">E$6*B29</f>
        <v>2250.0000000000009</v>
      </c>
      <c r="F29" s="44">
        <f>F$6*10*(D$29-D29)</f>
        <v>0</v>
      </c>
      <c r="G29" s="44">
        <f t="shared" ref="G29:G64" si="4">-(G$6*B29+H$6)</f>
        <v>-1825.0000000000005</v>
      </c>
      <c r="H29" s="44">
        <f t="shared" ref="H29:H64" si="5">-(I$6*10*D29)</f>
        <v>-334.00000000000011</v>
      </c>
      <c r="I29" s="45">
        <f>SUM(E29:H29)</f>
        <v>91.000000000000341</v>
      </c>
      <c r="J29">
        <f t="shared" ref="J29:J64" si="6">IF(I29=M$51,A29,0)</f>
        <v>0</v>
      </c>
      <c r="R29" s="14"/>
      <c r="S29" s="26"/>
    </row>
    <row r="30" spans="1:19" x14ac:dyDescent="0.25">
      <c r="A30" s="4">
        <f>A29-0.02</f>
        <v>0.98</v>
      </c>
      <c r="B30" s="32">
        <f t="shared" si="0"/>
        <v>12446.421428571435</v>
      </c>
      <c r="C30" s="32">
        <f t="shared" si="1"/>
        <v>478.2828571428571</v>
      </c>
      <c r="D30" s="32">
        <f t="shared" si="2"/>
        <v>773.63434698216099</v>
      </c>
      <c r="E30" s="43">
        <f t="shared" si="3"/>
        <v>2240.3558571428584</v>
      </c>
      <c r="F30" s="44">
        <f t="shared" ref="F30:F64" si="7">F$6*10*(D$29-D30)</f>
        <v>122.73130603567847</v>
      </c>
      <c r="G30" s="44">
        <f t="shared" si="4"/>
        <v>-1822.3210714285719</v>
      </c>
      <c r="H30" s="44">
        <f t="shared" si="5"/>
        <v>-309.45373879286444</v>
      </c>
      <c r="I30" s="45">
        <f t="shared" ref="I30:I64" si="8">SUM(E30:H30)</f>
        <v>231.3123529571003</v>
      </c>
      <c r="J30">
        <f t="shared" si="6"/>
        <v>0</v>
      </c>
      <c r="R30" s="14"/>
      <c r="S30" s="26"/>
    </row>
    <row r="31" spans="1:19" x14ac:dyDescent="0.25">
      <c r="A31" s="4">
        <f t="shared" ref="A31:A64" si="9">A30-0.02</f>
        <v>0.96</v>
      </c>
      <c r="B31" s="32">
        <f t="shared" si="0"/>
        <v>12363.742857142857</v>
      </c>
      <c r="C31" s="32">
        <f t="shared" si="1"/>
        <v>455.86571428571426</v>
      </c>
      <c r="D31" s="32">
        <f t="shared" si="2"/>
        <v>716.70559698140335</v>
      </c>
      <c r="E31" s="43">
        <f t="shared" si="3"/>
        <v>2225.4737142857143</v>
      </c>
      <c r="F31" s="44">
        <f t="shared" si="7"/>
        <v>236.58880603719376</v>
      </c>
      <c r="G31" s="44">
        <f t="shared" si="4"/>
        <v>-1818.187142857143</v>
      </c>
      <c r="H31" s="44">
        <f t="shared" si="5"/>
        <v>-286.68223879256135</v>
      </c>
      <c r="I31" s="45">
        <f t="shared" si="8"/>
        <v>357.19313867320392</v>
      </c>
      <c r="J31">
        <f t="shared" si="6"/>
        <v>0</v>
      </c>
      <c r="R31" s="14"/>
      <c r="S31" s="26"/>
    </row>
    <row r="32" spans="1:19" x14ac:dyDescent="0.25">
      <c r="A32" s="4">
        <f t="shared" si="9"/>
        <v>0.94</v>
      </c>
      <c r="B32" s="32">
        <f t="shared" si="0"/>
        <v>12251.964285714284</v>
      </c>
      <c r="C32" s="32">
        <f t="shared" si="1"/>
        <v>433.74857142857132</v>
      </c>
      <c r="D32" s="32">
        <f t="shared" si="2"/>
        <v>663.74606505771237</v>
      </c>
      <c r="E32" s="43">
        <f t="shared" si="3"/>
        <v>2205.3535714285713</v>
      </c>
      <c r="F32" s="44">
        <f t="shared" si="7"/>
        <v>342.50786988457571</v>
      </c>
      <c r="G32" s="44">
        <f t="shared" si="4"/>
        <v>-1812.5982142857142</v>
      </c>
      <c r="H32" s="44">
        <f t="shared" si="5"/>
        <v>-265.49842602308496</v>
      </c>
      <c r="I32" s="45">
        <f t="shared" si="8"/>
        <v>469.76480100434804</v>
      </c>
      <c r="J32">
        <f t="shared" si="6"/>
        <v>0</v>
      </c>
      <c r="R32" s="14"/>
      <c r="S32" s="26"/>
    </row>
    <row r="33" spans="1:19" x14ac:dyDescent="0.25">
      <c r="A33" s="4">
        <f t="shared" si="9"/>
        <v>0.91999999999999993</v>
      </c>
      <c r="B33" s="32">
        <f t="shared" si="0"/>
        <v>12111.085714285718</v>
      </c>
      <c r="C33" s="32">
        <f t="shared" si="1"/>
        <v>411.93142857142846</v>
      </c>
      <c r="D33" s="32">
        <f t="shared" si="2"/>
        <v>614.35145730356214</v>
      </c>
      <c r="E33" s="43">
        <f t="shared" si="3"/>
        <v>2179.9954285714293</v>
      </c>
      <c r="F33" s="44">
        <f t="shared" si="7"/>
        <v>441.29708539287617</v>
      </c>
      <c r="G33" s="44">
        <f t="shared" si="4"/>
        <v>-1805.5542857142859</v>
      </c>
      <c r="H33" s="44">
        <f t="shared" si="5"/>
        <v>-245.74058292142487</v>
      </c>
      <c r="I33" s="45">
        <f t="shared" si="8"/>
        <v>569.9976453285949</v>
      </c>
      <c r="J33">
        <f t="shared" si="6"/>
        <v>0</v>
      </c>
      <c r="R33" s="14"/>
      <c r="S33" s="26"/>
    </row>
    <row r="34" spans="1:19" x14ac:dyDescent="0.25">
      <c r="A34" s="4">
        <f t="shared" si="9"/>
        <v>0.89999999999999991</v>
      </c>
      <c r="B34" s="32">
        <f t="shared" si="0"/>
        <v>11941.107142857154</v>
      </c>
      <c r="C34" s="32">
        <f t="shared" si="1"/>
        <v>390.41428571428565</v>
      </c>
      <c r="D34" s="32">
        <f t="shared" si="2"/>
        <v>568.17047817047808</v>
      </c>
      <c r="E34" s="43">
        <f t="shared" si="3"/>
        <v>2149.3992857142875</v>
      </c>
      <c r="F34" s="44">
        <f t="shared" si="7"/>
        <v>533.6590436590443</v>
      </c>
      <c r="G34" s="44">
        <f t="shared" si="4"/>
        <v>-1797.0553571428577</v>
      </c>
      <c r="H34" s="44">
        <f t="shared" si="5"/>
        <v>-227.26819126819123</v>
      </c>
      <c r="I34" s="45">
        <f t="shared" si="8"/>
        <v>658.73478096228268</v>
      </c>
      <c r="J34">
        <f t="shared" si="6"/>
        <v>0</v>
      </c>
      <c r="R34" s="14"/>
      <c r="S34" s="26"/>
    </row>
    <row r="35" spans="1:19" x14ac:dyDescent="0.25">
      <c r="A35" s="4">
        <f t="shared" si="9"/>
        <v>0.87999999999999989</v>
      </c>
      <c r="B35" s="32">
        <f t="shared" si="0"/>
        <v>11742.028571428582</v>
      </c>
      <c r="C35" s="32">
        <f t="shared" si="1"/>
        <v>369.19714285714275</v>
      </c>
      <c r="D35" s="32">
        <f t="shared" si="2"/>
        <v>524.89641725566651</v>
      </c>
      <c r="E35" s="43">
        <f t="shared" si="3"/>
        <v>2113.5651428571446</v>
      </c>
      <c r="F35" s="44">
        <f t="shared" si="7"/>
        <v>620.20716548866744</v>
      </c>
      <c r="G35" s="44">
        <f t="shared" si="4"/>
        <v>-1787.1014285714291</v>
      </c>
      <c r="H35" s="44">
        <f t="shared" si="5"/>
        <v>-209.95856690226663</v>
      </c>
      <c r="I35" s="45">
        <f t="shared" si="8"/>
        <v>736.71231287211651</v>
      </c>
      <c r="J35">
        <f t="shared" si="6"/>
        <v>0</v>
      </c>
      <c r="R35" s="14"/>
      <c r="S35" s="26"/>
    </row>
    <row r="36" spans="1:19" x14ac:dyDescent="0.25">
      <c r="A36" s="4">
        <f t="shared" si="9"/>
        <v>0.85999999999999988</v>
      </c>
      <c r="B36" s="32">
        <f t="shared" si="0"/>
        <v>11513.850000000009</v>
      </c>
      <c r="C36" s="32">
        <f t="shared" si="1"/>
        <v>348.28</v>
      </c>
      <c r="D36" s="32">
        <f t="shared" si="2"/>
        <v>484.26028921023351</v>
      </c>
      <c r="E36" s="43">
        <f t="shared" si="3"/>
        <v>2072.4930000000018</v>
      </c>
      <c r="F36" s="44">
        <f t="shared" si="7"/>
        <v>701.47942157953344</v>
      </c>
      <c r="G36" s="44">
        <f t="shared" si="4"/>
        <v>-1775.6925000000006</v>
      </c>
      <c r="H36" s="44">
        <f t="shared" si="5"/>
        <v>-193.70411568409341</v>
      </c>
      <c r="I36" s="45">
        <f t="shared" si="8"/>
        <v>804.57580589544102</v>
      </c>
      <c r="J36">
        <f t="shared" si="6"/>
        <v>0</v>
      </c>
      <c r="R36" s="14"/>
      <c r="S36" s="26"/>
    </row>
    <row r="37" spans="1:19" x14ac:dyDescent="0.25">
      <c r="A37" s="4">
        <f t="shared" si="9"/>
        <v>0.83999999999999986</v>
      </c>
      <c r="B37" s="32">
        <f t="shared" si="0"/>
        <v>11256.571428571433</v>
      </c>
      <c r="C37" s="32">
        <f t="shared" si="1"/>
        <v>327.66285714285704</v>
      </c>
      <c r="D37" s="32">
        <f t="shared" si="2"/>
        <v>446.02520224019895</v>
      </c>
      <c r="E37" s="43">
        <f t="shared" si="3"/>
        <v>2026.1828571428578</v>
      </c>
      <c r="F37" s="44">
        <f t="shared" si="7"/>
        <v>777.94959551960255</v>
      </c>
      <c r="G37" s="44">
        <f t="shared" si="4"/>
        <v>-1762.8285714285716</v>
      </c>
      <c r="H37" s="44">
        <f t="shared" si="5"/>
        <v>-178.41008089607959</v>
      </c>
      <c r="I37" s="45">
        <f t="shared" si="8"/>
        <v>862.89380033780913</v>
      </c>
      <c r="J37">
        <f t="shared" si="6"/>
        <v>0</v>
      </c>
      <c r="R37" s="14"/>
      <c r="S37" s="26"/>
    </row>
    <row r="38" spans="1:19" x14ac:dyDescent="0.25">
      <c r="A38" s="4">
        <f t="shared" si="9"/>
        <v>0.81999999999999984</v>
      </c>
      <c r="B38" s="32">
        <f t="shared" si="0"/>
        <v>10970.19285714286</v>
      </c>
      <c r="C38" s="32">
        <f t="shared" si="1"/>
        <v>307.34571428571411</v>
      </c>
      <c r="D38" s="32">
        <f t="shared" si="2"/>
        <v>409.98170592270719</v>
      </c>
      <c r="E38" s="43">
        <f t="shared" si="3"/>
        <v>1974.6347142857146</v>
      </c>
      <c r="F38" s="44">
        <f t="shared" si="7"/>
        <v>850.03658815458607</v>
      </c>
      <c r="G38" s="44">
        <f t="shared" si="4"/>
        <v>-1748.509642857143</v>
      </c>
      <c r="H38" s="44">
        <f t="shared" si="5"/>
        <v>-163.9926823690829</v>
      </c>
      <c r="I38" s="45">
        <f t="shared" si="8"/>
        <v>912.16897721407474</v>
      </c>
      <c r="J38">
        <f t="shared" si="6"/>
        <v>0</v>
      </c>
      <c r="R38" s="14"/>
      <c r="S38" s="26"/>
    </row>
    <row r="39" spans="1:19" x14ac:dyDescent="0.25">
      <c r="A39" s="4">
        <f t="shared" si="9"/>
        <v>0.79999999999999982</v>
      </c>
      <c r="B39" s="32">
        <f t="shared" si="0"/>
        <v>10654.71428571429</v>
      </c>
      <c r="C39" s="32">
        <f t="shared" si="1"/>
        <v>287.32857142857125</v>
      </c>
      <c r="D39" s="32">
        <f t="shared" si="2"/>
        <v>375.94392523364456</v>
      </c>
      <c r="E39" s="43">
        <f t="shared" si="3"/>
        <v>1917.8485714285721</v>
      </c>
      <c r="F39" s="44">
        <f t="shared" si="7"/>
        <v>918.11214953271133</v>
      </c>
      <c r="G39" s="44">
        <f t="shared" si="4"/>
        <v>-1732.7357142857145</v>
      </c>
      <c r="H39" s="44">
        <f t="shared" si="5"/>
        <v>-150.37757009345782</v>
      </c>
      <c r="I39" s="45">
        <f t="shared" si="8"/>
        <v>952.84743658211084</v>
      </c>
      <c r="J39">
        <f t="shared" si="6"/>
        <v>0</v>
      </c>
      <c r="S39" s="26"/>
    </row>
    <row r="40" spans="1:19" x14ac:dyDescent="0.25">
      <c r="A40" s="4">
        <f t="shared" si="9"/>
        <v>0.7799999999999998</v>
      </c>
      <c r="B40" s="32">
        <f t="shared" si="0"/>
        <v>10310.135714285714</v>
      </c>
      <c r="C40" s="32">
        <f t="shared" si="1"/>
        <v>267.61142857142841</v>
      </c>
      <c r="D40" s="32">
        <f t="shared" si="2"/>
        <v>343.74633000587176</v>
      </c>
      <c r="E40" s="43">
        <f t="shared" si="3"/>
        <v>1855.8244285714284</v>
      </c>
      <c r="F40" s="44">
        <f t="shared" si="7"/>
        <v>982.50733998825694</v>
      </c>
      <c r="G40" s="44">
        <f t="shared" si="4"/>
        <v>-1715.5067857142858</v>
      </c>
      <c r="H40" s="44">
        <f t="shared" si="5"/>
        <v>-137.4985320023487</v>
      </c>
      <c r="I40" s="45">
        <f t="shared" si="8"/>
        <v>985.32645084305079</v>
      </c>
      <c r="J40">
        <f t="shared" si="6"/>
        <v>0</v>
      </c>
      <c r="S40" s="26"/>
    </row>
    <row r="41" spans="1:19" x14ac:dyDescent="0.25">
      <c r="A41" s="4">
        <f t="shared" si="9"/>
        <v>0.75999999999999979</v>
      </c>
      <c r="B41" s="32">
        <f t="shared" si="0"/>
        <v>9936.4571428571417</v>
      </c>
      <c r="C41" s="32">
        <f t="shared" si="1"/>
        <v>248.19428571428554</v>
      </c>
      <c r="D41" s="32">
        <f t="shared" si="2"/>
        <v>313.24102120294225</v>
      </c>
      <c r="E41" s="43">
        <f t="shared" si="3"/>
        <v>1788.5622857142855</v>
      </c>
      <c r="F41" s="44">
        <f t="shared" si="7"/>
        <v>1043.5179575941161</v>
      </c>
      <c r="G41" s="44">
        <f t="shared" si="4"/>
        <v>-1696.8228571428572</v>
      </c>
      <c r="H41" s="44">
        <f t="shared" si="5"/>
        <v>-125.29640848117691</v>
      </c>
      <c r="I41" s="45">
        <f>SUM(E41:H41)</f>
        <v>1009.9609776843677</v>
      </c>
      <c r="J41">
        <f t="shared" si="6"/>
        <v>0</v>
      </c>
      <c r="S41" s="26"/>
    </row>
    <row r="42" spans="1:19" x14ac:dyDescent="0.25">
      <c r="A42" s="4">
        <f t="shared" si="9"/>
        <v>0.73999999999999977</v>
      </c>
      <c r="B42" s="32">
        <f t="shared" si="0"/>
        <v>9533.6785714285688</v>
      </c>
      <c r="C42" s="32">
        <f t="shared" si="1"/>
        <v>229.07714285714266</v>
      </c>
      <c r="D42" s="32">
        <f t="shared" si="2"/>
        <v>284.29544003971324</v>
      </c>
      <c r="E42" s="43">
        <f t="shared" si="3"/>
        <v>1716.0621428571424</v>
      </c>
      <c r="F42" s="44">
        <f t="shared" si="7"/>
        <v>1101.4091199205741</v>
      </c>
      <c r="G42" s="44">
        <f t="shared" si="4"/>
        <v>-1676.6839285714284</v>
      </c>
      <c r="H42" s="44">
        <f t="shared" si="5"/>
        <v>-113.71817601588531</v>
      </c>
      <c r="I42" s="45">
        <f>SUM(E42:H42)</f>
        <v>1027.0691581904025</v>
      </c>
      <c r="J42">
        <f t="shared" si="6"/>
        <v>0</v>
      </c>
      <c r="S42" s="26"/>
    </row>
    <row r="43" spans="1:19" x14ac:dyDescent="0.25">
      <c r="A43" s="4">
        <f t="shared" si="9"/>
        <v>0.71999999999999975</v>
      </c>
      <c r="B43" s="32">
        <f t="shared" si="0"/>
        <v>9101.7999999999956</v>
      </c>
      <c r="C43" s="32">
        <f t="shared" si="1"/>
        <v>210.25999999999979</v>
      </c>
      <c r="D43" s="32">
        <f t="shared" si="2"/>
        <v>256.79042501221272</v>
      </c>
      <c r="E43" s="43">
        <f t="shared" si="3"/>
        <v>1638.3239999999992</v>
      </c>
      <c r="F43" s="44">
        <f t="shared" si="7"/>
        <v>1156.419149975575</v>
      </c>
      <c r="G43" s="44">
        <f t="shared" si="4"/>
        <v>-1655.0899999999997</v>
      </c>
      <c r="H43" s="44">
        <f t="shared" si="5"/>
        <v>-102.7161700048851</v>
      </c>
      <c r="I43" s="45">
        <f>SUM(E43:H43)</f>
        <v>1036.9369799706892</v>
      </c>
      <c r="J43">
        <f t="shared" si="6"/>
        <v>0</v>
      </c>
    </row>
    <row r="44" spans="1:19" x14ac:dyDescent="0.25">
      <c r="A44" s="4">
        <f t="shared" si="9"/>
        <v>0.69999999999999973</v>
      </c>
      <c r="B44" s="32">
        <f t="shared" si="0"/>
        <v>8640.8214285714348</v>
      </c>
      <c r="C44" s="32">
        <f t="shared" si="1"/>
        <v>191.74285714285688</v>
      </c>
      <c r="D44" s="32">
        <f t="shared" si="2"/>
        <v>230.61855670103057</v>
      </c>
      <c r="E44" s="43">
        <f t="shared" si="3"/>
        <v>1555.3478571428582</v>
      </c>
      <c r="F44" s="44">
        <f t="shared" si="7"/>
        <v>1208.7628865979393</v>
      </c>
      <c r="G44" s="44">
        <f t="shared" si="4"/>
        <v>-1632.0410714285717</v>
      </c>
      <c r="H44" s="44">
        <f t="shared" si="5"/>
        <v>-92.247422680412228</v>
      </c>
      <c r="I44" s="45">
        <f t="shared" si="8"/>
        <v>1039.8222496318133</v>
      </c>
      <c r="J44">
        <f t="shared" si="6"/>
        <v>0.69999999999999973</v>
      </c>
    </row>
    <row r="45" spans="1:19" x14ac:dyDescent="0.25">
      <c r="A45" s="4">
        <f t="shared" si="9"/>
        <v>0.67999999999999972</v>
      </c>
      <c r="B45" s="32">
        <f t="shared" si="0"/>
        <v>8150.7428571428618</v>
      </c>
      <c r="C45" s="32">
        <f t="shared" si="1"/>
        <v>173.52571428571406</v>
      </c>
      <c r="D45" s="32">
        <f t="shared" si="2"/>
        <v>205.68274180438877</v>
      </c>
      <c r="E45" s="43">
        <f t="shared" si="3"/>
        <v>1467.1337142857151</v>
      </c>
      <c r="F45" s="44">
        <f t="shared" si="7"/>
        <v>1258.6345163912229</v>
      </c>
      <c r="G45" s="44">
        <f t="shared" si="4"/>
        <v>-1607.5371428571432</v>
      </c>
      <c r="H45" s="44">
        <f t="shared" si="5"/>
        <v>-82.273096721755508</v>
      </c>
      <c r="I45" s="45">
        <f t="shared" si="8"/>
        <v>1035.9579910980392</v>
      </c>
      <c r="J45">
        <f t="shared" si="6"/>
        <v>0</v>
      </c>
    </row>
    <row r="46" spans="1:19" x14ac:dyDescent="0.25">
      <c r="A46" s="4">
        <f t="shared" si="9"/>
        <v>0.6599999999999997</v>
      </c>
      <c r="B46" s="32">
        <f t="shared" si="0"/>
        <v>7631.5642857142821</v>
      </c>
      <c r="C46" s="32">
        <f t="shared" si="1"/>
        <v>155.60857142857111</v>
      </c>
      <c r="D46" s="32">
        <f t="shared" si="2"/>
        <v>181.89499699418838</v>
      </c>
      <c r="E46" s="43">
        <f t="shared" si="3"/>
        <v>1373.6815714285708</v>
      </c>
      <c r="F46" s="44">
        <f t="shared" si="7"/>
        <v>1306.2100060116236</v>
      </c>
      <c r="G46" s="44">
        <f t="shared" si="4"/>
        <v>-1581.5782142857142</v>
      </c>
      <c r="H46" s="44">
        <f t="shared" si="5"/>
        <v>-72.757998797675356</v>
      </c>
      <c r="I46" s="45">
        <f t="shared" si="8"/>
        <v>1025.5553643568048</v>
      </c>
      <c r="J46">
        <f t="shared" si="6"/>
        <v>0</v>
      </c>
    </row>
    <row r="47" spans="1:19" x14ac:dyDescent="0.25">
      <c r="A47" s="4">
        <f t="shared" si="9"/>
        <v>0.63999999999999968</v>
      </c>
      <c r="B47" s="32">
        <f t="shared" si="0"/>
        <v>7083.2857142857138</v>
      </c>
      <c r="C47" s="32">
        <f t="shared" si="1"/>
        <v>137.99142857142832</v>
      </c>
      <c r="D47" s="32">
        <f t="shared" si="2"/>
        <v>159.17540043504022</v>
      </c>
      <c r="E47" s="43">
        <f t="shared" si="3"/>
        <v>1274.9914285714285</v>
      </c>
      <c r="F47" s="44">
        <f t="shared" si="7"/>
        <v>1351.6491991299199</v>
      </c>
      <c r="G47" s="44">
        <f t="shared" si="4"/>
        <v>-1554.1642857142856</v>
      </c>
      <c r="H47" s="44">
        <f t="shared" si="5"/>
        <v>-63.67016017401609</v>
      </c>
      <c r="I47" s="45">
        <f t="shared" si="8"/>
        <v>1008.8061818130467</v>
      </c>
      <c r="J47">
        <f t="shared" si="6"/>
        <v>0</v>
      </c>
      <c r="R47" s="73"/>
      <c r="S47" s="43"/>
    </row>
    <row r="48" spans="1:19" x14ac:dyDescent="0.25">
      <c r="A48" s="4">
        <f t="shared" si="9"/>
        <v>0.61999999999999966</v>
      </c>
      <c r="B48" s="32">
        <f t="shared" si="0"/>
        <v>6505.9071428571397</v>
      </c>
      <c r="C48" s="32">
        <f t="shared" si="1"/>
        <v>120.67428571428543</v>
      </c>
      <c r="D48" s="32">
        <f t="shared" si="2"/>
        <v>137.45118458734672</v>
      </c>
      <c r="E48" s="43">
        <f t="shared" si="3"/>
        <v>1171.063285714285</v>
      </c>
      <c r="F48" s="44">
        <f t="shared" si="7"/>
        <v>1395.0976308253071</v>
      </c>
      <c r="G48" s="44">
        <f t="shared" si="4"/>
        <v>-1525.295357142857</v>
      </c>
      <c r="H48" s="44">
        <f t="shared" si="5"/>
        <v>-54.980473834938692</v>
      </c>
      <c r="I48" s="45">
        <f t="shared" si="8"/>
        <v>985.88508556179636</v>
      </c>
      <c r="J48">
        <f t="shared" si="6"/>
        <v>0</v>
      </c>
    </row>
    <row r="49" spans="1:13" x14ac:dyDescent="0.25">
      <c r="A49" s="4">
        <f t="shared" si="9"/>
        <v>0.59999999999999964</v>
      </c>
      <c r="B49" s="32">
        <f t="shared" si="0"/>
        <v>5899.4285714285634</v>
      </c>
      <c r="C49" s="32">
        <f t="shared" si="1"/>
        <v>103.65714285714259</v>
      </c>
      <c r="D49" s="32">
        <f t="shared" si="2"/>
        <v>116.65594855305434</v>
      </c>
      <c r="E49" s="43">
        <f t="shared" si="3"/>
        <v>1061.8971428571413</v>
      </c>
      <c r="F49" s="44">
        <f t="shared" si="7"/>
        <v>1436.6881028938917</v>
      </c>
      <c r="G49" s="44">
        <f t="shared" si="4"/>
        <v>-1494.9714285714281</v>
      </c>
      <c r="H49" s="44">
        <f t="shared" si="5"/>
        <v>-46.662379421221743</v>
      </c>
      <c r="I49" s="45">
        <f t="shared" si="8"/>
        <v>956.95143775838289</v>
      </c>
      <c r="J49">
        <f t="shared" si="6"/>
        <v>0</v>
      </c>
      <c r="L49" t="s">
        <v>182</v>
      </c>
    </row>
    <row r="50" spans="1:13" ht="18" x14ac:dyDescent="0.35">
      <c r="A50" s="4">
        <f t="shared" si="9"/>
        <v>0.57999999999999963</v>
      </c>
      <c r="B50" s="32">
        <f t="shared" si="0"/>
        <v>5263.8499999999922</v>
      </c>
      <c r="C50" s="32">
        <f t="shared" si="1"/>
        <v>86.939999999999699</v>
      </c>
      <c r="D50" s="32">
        <f t="shared" si="2"/>
        <v>96.72897196261647</v>
      </c>
      <c r="E50" s="43">
        <f t="shared" si="3"/>
        <v>947.49299999999857</v>
      </c>
      <c r="F50" s="44">
        <f t="shared" si="7"/>
        <v>1476.5420560747675</v>
      </c>
      <c r="G50" s="44">
        <f t="shared" si="4"/>
        <v>-1463.1924999999997</v>
      </c>
      <c r="H50" s="44">
        <f t="shared" si="5"/>
        <v>-38.691588785046591</v>
      </c>
      <c r="I50" s="45">
        <f t="shared" si="8"/>
        <v>922.1509672897198</v>
      </c>
      <c r="J50">
        <f t="shared" si="6"/>
        <v>0</v>
      </c>
      <c r="L50" s="3" t="s">
        <v>118</v>
      </c>
      <c r="M50" s="19">
        <f>MAX(J29:J64)</f>
        <v>0.69999999999999973</v>
      </c>
    </row>
    <row r="51" spans="1:13" x14ac:dyDescent="0.25">
      <c r="A51" s="4">
        <f t="shared" si="9"/>
        <v>0.55999999999999961</v>
      </c>
      <c r="B51" s="32">
        <f t="shared" si="0"/>
        <v>4599.1714285714188</v>
      </c>
      <c r="C51" s="32">
        <f t="shared" si="1"/>
        <v>70.522857142856807</v>
      </c>
      <c r="D51" s="32">
        <f t="shared" si="2"/>
        <v>77.614615432991258</v>
      </c>
      <c r="E51" s="43">
        <f t="shared" si="3"/>
        <v>827.85085714285538</v>
      </c>
      <c r="F51" s="44">
        <f t="shared" si="7"/>
        <v>1514.7707691340179</v>
      </c>
      <c r="G51" s="44">
        <f t="shared" si="4"/>
        <v>-1429.9585714285708</v>
      </c>
      <c r="H51" s="44">
        <f t="shared" si="5"/>
        <v>-31.045846173196505</v>
      </c>
      <c r="I51" s="45">
        <f t="shared" si="8"/>
        <v>881.61720867510564</v>
      </c>
      <c r="J51">
        <f t="shared" si="6"/>
        <v>0</v>
      </c>
      <c r="L51" s="71" t="s">
        <v>178</v>
      </c>
      <c r="M51" s="72">
        <f>MAX(I29:I64)</f>
        <v>1039.8222496318133</v>
      </c>
    </row>
    <row r="52" spans="1:13" x14ac:dyDescent="0.25">
      <c r="A52" s="4">
        <f t="shared" si="9"/>
        <v>0.53999999999999959</v>
      </c>
      <c r="B52" s="32">
        <f t="shared" si="0"/>
        <v>3905.3928571428492</v>
      </c>
      <c r="C52" s="32">
        <f t="shared" si="1"/>
        <v>54.405714285714026</v>
      </c>
      <c r="D52" s="32">
        <f t="shared" si="2"/>
        <v>59.261795095231875</v>
      </c>
      <c r="E52" s="43">
        <f t="shared" si="3"/>
        <v>702.9707142857128</v>
      </c>
      <c r="F52" s="44">
        <f t="shared" si="7"/>
        <v>1551.4764098095368</v>
      </c>
      <c r="G52" s="44">
        <f t="shared" si="4"/>
        <v>-1395.2696428571426</v>
      </c>
      <c r="H52" s="44">
        <f t="shared" si="5"/>
        <v>-23.70471803809275</v>
      </c>
      <c r="I52" s="45">
        <f t="shared" si="8"/>
        <v>835.47276320001447</v>
      </c>
      <c r="J52">
        <f t="shared" si="6"/>
        <v>0</v>
      </c>
    </row>
    <row r="53" spans="1:13" x14ac:dyDescent="0.25">
      <c r="A53" s="4">
        <f t="shared" si="9"/>
        <v>0.51999999999999957</v>
      </c>
      <c r="B53" s="32">
        <f t="shared" si="0"/>
        <v>3182.5142857142773</v>
      </c>
      <c r="C53" s="32">
        <f t="shared" si="1"/>
        <v>38.5885714285711</v>
      </c>
      <c r="D53" s="32">
        <f t="shared" si="2"/>
        <v>41.623520710058806</v>
      </c>
      <c r="E53" s="43">
        <f t="shared" si="3"/>
        <v>572.85257142856995</v>
      </c>
      <c r="F53" s="44">
        <f t="shared" si="7"/>
        <v>1586.7529585798829</v>
      </c>
      <c r="G53" s="44">
        <f t="shared" si="4"/>
        <v>-1359.1257142857139</v>
      </c>
      <c r="H53" s="44">
        <f t="shared" si="5"/>
        <v>-16.649408284023522</v>
      </c>
      <c r="I53" s="45">
        <f t="shared" si="8"/>
        <v>783.83040743871527</v>
      </c>
      <c r="J53">
        <f t="shared" si="6"/>
        <v>0</v>
      </c>
      <c r="L53" s="15"/>
      <c r="M53" s="124"/>
    </row>
    <row r="54" spans="1:13" x14ac:dyDescent="0.25">
      <c r="A54" s="4">
        <f t="shared" si="9"/>
        <v>0.49999999999999956</v>
      </c>
      <c r="B54" s="32">
        <f t="shared" si="0"/>
        <v>2430.5357142857033</v>
      </c>
      <c r="C54" s="32">
        <f t="shared" si="1"/>
        <v>23.071428571428271</v>
      </c>
      <c r="D54" s="32">
        <f t="shared" si="2"/>
        <v>24.656488549618</v>
      </c>
      <c r="E54" s="43">
        <f t="shared" si="3"/>
        <v>437.49642857142658</v>
      </c>
      <c r="F54" s="44">
        <f t="shared" si="7"/>
        <v>1620.6870229007645</v>
      </c>
      <c r="G54" s="44">
        <f t="shared" si="4"/>
        <v>-1321.5267857142851</v>
      </c>
      <c r="H54" s="44">
        <f t="shared" si="5"/>
        <v>-9.8625954198472012</v>
      </c>
      <c r="I54" s="45">
        <f t="shared" si="8"/>
        <v>726.79407033805899</v>
      </c>
      <c r="J54">
        <f t="shared" si="6"/>
        <v>0</v>
      </c>
      <c r="L54" s="15"/>
      <c r="M54" s="43"/>
    </row>
    <row r="55" spans="1:13" x14ac:dyDescent="0.25">
      <c r="A55" s="4">
        <f t="shared" si="9"/>
        <v>0.47999999999999954</v>
      </c>
      <c r="B55" s="32">
        <f t="shared" si="0"/>
        <v>1649.4571428571289</v>
      </c>
      <c r="C55" s="32">
        <f t="shared" si="1"/>
        <v>9.3902857142853975</v>
      </c>
      <c r="D55" s="32">
        <f t="shared" si="2"/>
        <v>9.9479387372113592</v>
      </c>
      <c r="E55" s="43">
        <f t="shared" si="3"/>
        <v>296.90228571428321</v>
      </c>
      <c r="F55" s="44">
        <f t="shared" si="7"/>
        <v>1650.1041225255776</v>
      </c>
      <c r="G55" s="44">
        <f t="shared" si="4"/>
        <v>-1282.4728571428564</v>
      </c>
      <c r="H55" s="44">
        <f t="shared" si="5"/>
        <v>-3.9791754948845437</v>
      </c>
      <c r="I55" s="45">
        <f t="shared" si="8"/>
        <v>660.55437560211988</v>
      </c>
      <c r="J55">
        <f t="shared" si="6"/>
        <v>0</v>
      </c>
    </row>
    <row r="56" spans="1:13" x14ac:dyDescent="0.25">
      <c r="A56" s="4">
        <f t="shared" si="9"/>
        <v>0.45999999999999952</v>
      </c>
      <c r="B56" s="32">
        <f t="shared" si="0"/>
        <v>839.27857142855476</v>
      </c>
      <c r="C56" s="32">
        <f t="shared" si="1"/>
        <v>0</v>
      </c>
      <c r="D56" s="32">
        <f t="shared" si="2"/>
        <v>0</v>
      </c>
      <c r="E56" s="43">
        <f t="shared" si="3"/>
        <v>151.07014285713984</v>
      </c>
      <c r="F56" s="44">
        <f t="shared" si="7"/>
        <v>1670.0000000000005</v>
      </c>
      <c r="G56" s="44">
        <f t="shared" si="4"/>
        <v>-1241.9639285714277</v>
      </c>
      <c r="H56" s="44">
        <f t="shared" si="5"/>
        <v>0</v>
      </c>
      <c r="I56" s="45">
        <f t="shared" si="8"/>
        <v>579.10621428571267</v>
      </c>
      <c r="J56">
        <f t="shared" si="6"/>
        <v>0</v>
      </c>
    </row>
    <row r="57" spans="1:13" x14ac:dyDescent="0.25">
      <c r="A57" s="4">
        <f t="shared" si="9"/>
        <v>0.4399999999999995</v>
      </c>
      <c r="B57" s="32">
        <f t="shared" si="0"/>
        <v>0</v>
      </c>
      <c r="C57" s="32">
        <f t="shared" si="1"/>
        <v>0</v>
      </c>
      <c r="D57" s="32">
        <f t="shared" si="2"/>
        <v>0</v>
      </c>
      <c r="E57" s="43">
        <f t="shared" si="3"/>
        <v>0</v>
      </c>
      <c r="F57" s="44">
        <f t="shared" si="7"/>
        <v>1670.0000000000005</v>
      </c>
      <c r="G57" s="44">
        <f t="shared" si="4"/>
        <v>-1200</v>
      </c>
      <c r="H57" s="44">
        <f t="shared" si="5"/>
        <v>0</v>
      </c>
      <c r="I57" s="45">
        <f t="shared" si="8"/>
        <v>470.00000000000045</v>
      </c>
      <c r="J57">
        <f t="shared" si="6"/>
        <v>0</v>
      </c>
    </row>
    <row r="58" spans="1:13" x14ac:dyDescent="0.25">
      <c r="A58" s="4">
        <f t="shared" si="9"/>
        <v>0.41999999999999948</v>
      </c>
      <c r="B58" s="32">
        <f t="shared" si="0"/>
        <v>0</v>
      </c>
      <c r="C58" s="32">
        <f t="shared" si="1"/>
        <v>0</v>
      </c>
      <c r="D58" s="32">
        <f t="shared" si="2"/>
        <v>0</v>
      </c>
      <c r="E58" s="43">
        <f t="shared" si="3"/>
        <v>0</v>
      </c>
      <c r="F58" s="44">
        <f t="shared" si="7"/>
        <v>1670.0000000000005</v>
      </c>
      <c r="G58" s="44">
        <f t="shared" si="4"/>
        <v>-1200</v>
      </c>
      <c r="H58" s="44">
        <f t="shared" si="5"/>
        <v>0</v>
      </c>
      <c r="I58" s="45">
        <f t="shared" si="8"/>
        <v>470.00000000000045</v>
      </c>
      <c r="J58">
        <f t="shared" si="6"/>
        <v>0</v>
      </c>
    </row>
    <row r="59" spans="1:13" x14ac:dyDescent="0.25">
      <c r="A59" s="4">
        <f t="shared" si="9"/>
        <v>0.39999999999999947</v>
      </c>
      <c r="B59" s="32">
        <f t="shared" si="0"/>
        <v>0</v>
      </c>
      <c r="C59" s="32">
        <f t="shared" si="1"/>
        <v>0</v>
      </c>
      <c r="D59" s="32">
        <f t="shared" si="2"/>
        <v>0</v>
      </c>
      <c r="E59" s="43">
        <f t="shared" si="3"/>
        <v>0</v>
      </c>
      <c r="F59" s="44">
        <f t="shared" si="7"/>
        <v>1670.0000000000005</v>
      </c>
      <c r="G59" s="44">
        <f t="shared" si="4"/>
        <v>-1200</v>
      </c>
      <c r="H59" s="44">
        <f t="shared" si="5"/>
        <v>0</v>
      </c>
      <c r="I59" s="45">
        <f t="shared" si="8"/>
        <v>470.00000000000045</v>
      </c>
      <c r="J59">
        <f t="shared" si="6"/>
        <v>0</v>
      </c>
    </row>
    <row r="60" spans="1:13" x14ac:dyDescent="0.25">
      <c r="A60" s="4">
        <f t="shared" si="9"/>
        <v>0.37999999999999945</v>
      </c>
      <c r="B60" s="32">
        <f t="shared" si="0"/>
        <v>0</v>
      </c>
      <c r="C60" s="32">
        <f t="shared" si="1"/>
        <v>0</v>
      </c>
      <c r="D60" s="32">
        <f t="shared" si="2"/>
        <v>0</v>
      </c>
      <c r="E60" s="43">
        <f t="shared" si="3"/>
        <v>0</v>
      </c>
      <c r="F60" s="44">
        <f t="shared" si="7"/>
        <v>1670.0000000000005</v>
      </c>
      <c r="G60" s="44">
        <f t="shared" si="4"/>
        <v>-1200</v>
      </c>
      <c r="H60" s="44">
        <f t="shared" si="5"/>
        <v>0</v>
      </c>
      <c r="I60" s="45">
        <f t="shared" si="8"/>
        <v>470.00000000000045</v>
      </c>
      <c r="J60">
        <f t="shared" si="6"/>
        <v>0</v>
      </c>
    </row>
    <row r="61" spans="1:13" x14ac:dyDescent="0.25">
      <c r="A61" s="4">
        <f t="shared" si="9"/>
        <v>0.35999999999999943</v>
      </c>
      <c r="B61" s="32">
        <f t="shared" si="0"/>
        <v>0</v>
      </c>
      <c r="C61" s="32">
        <f t="shared" si="1"/>
        <v>0</v>
      </c>
      <c r="D61" s="32">
        <f t="shared" si="2"/>
        <v>0</v>
      </c>
      <c r="E61" s="43">
        <f t="shared" si="3"/>
        <v>0</v>
      </c>
      <c r="F61" s="44">
        <f t="shared" si="7"/>
        <v>1670.0000000000005</v>
      </c>
      <c r="G61" s="44">
        <f t="shared" si="4"/>
        <v>-1200</v>
      </c>
      <c r="H61" s="44">
        <f t="shared" si="5"/>
        <v>0</v>
      </c>
      <c r="I61" s="45">
        <f t="shared" si="8"/>
        <v>470.00000000000045</v>
      </c>
      <c r="J61">
        <f t="shared" si="6"/>
        <v>0</v>
      </c>
    </row>
    <row r="62" spans="1:13" x14ac:dyDescent="0.25">
      <c r="A62" s="4">
        <f t="shared" si="9"/>
        <v>0.33999999999999941</v>
      </c>
      <c r="B62" s="32">
        <f t="shared" si="0"/>
        <v>0</v>
      </c>
      <c r="C62" s="32">
        <f t="shared" si="1"/>
        <v>0</v>
      </c>
      <c r="D62" s="32">
        <f t="shared" si="2"/>
        <v>0</v>
      </c>
      <c r="E62" s="43">
        <f t="shared" si="3"/>
        <v>0</v>
      </c>
      <c r="F62" s="44">
        <f t="shared" si="7"/>
        <v>1670.0000000000005</v>
      </c>
      <c r="G62" s="44">
        <f t="shared" si="4"/>
        <v>-1200</v>
      </c>
      <c r="H62" s="44">
        <f t="shared" si="5"/>
        <v>0</v>
      </c>
      <c r="I62" s="45">
        <f t="shared" si="8"/>
        <v>470.00000000000045</v>
      </c>
      <c r="J62">
        <f t="shared" si="6"/>
        <v>0</v>
      </c>
    </row>
    <row r="63" spans="1:13" x14ac:dyDescent="0.25">
      <c r="A63" s="4">
        <f t="shared" si="9"/>
        <v>0.3199999999999994</v>
      </c>
      <c r="B63" s="32">
        <f t="shared" si="0"/>
        <v>0</v>
      </c>
      <c r="C63" s="32">
        <f t="shared" si="1"/>
        <v>0</v>
      </c>
      <c r="D63" s="32">
        <f t="shared" si="2"/>
        <v>0</v>
      </c>
      <c r="E63" s="43">
        <f t="shared" si="3"/>
        <v>0</v>
      </c>
      <c r="F63" s="44">
        <f t="shared" si="7"/>
        <v>1670.0000000000005</v>
      </c>
      <c r="G63" s="44">
        <f t="shared" si="4"/>
        <v>-1200</v>
      </c>
      <c r="H63" s="44">
        <f t="shared" si="5"/>
        <v>0</v>
      </c>
      <c r="I63" s="45">
        <f t="shared" si="8"/>
        <v>470.00000000000045</v>
      </c>
      <c r="J63">
        <f t="shared" si="6"/>
        <v>0</v>
      </c>
    </row>
    <row r="64" spans="1:13" x14ac:dyDescent="0.25">
      <c r="A64" s="5">
        <f t="shared" si="9"/>
        <v>0.29999999999999938</v>
      </c>
      <c r="B64" s="33">
        <f t="shared" si="0"/>
        <v>0</v>
      </c>
      <c r="C64" s="33">
        <f t="shared" si="1"/>
        <v>0</v>
      </c>
      <c r="D64" s="33">
        <f t="shared" si="2"/>
        <v>0</v>
      </c>
      <c r="E64" s="46">
        <f t="shared" si="3"/>
        <v>0</v>
      </c>
      <c r="F64" s="44">
        <f t="shared" si="7"/>
        <v>1670.0000000000005</v>
      </c>
      <c r="G64" s="47">
        <f t="shared" si="4"/>
        <v>-1200</v>
      </c>
      <c r="H64" s="47">
        <f t="shared" si="5"/>
        <v>0</v>
      </c>
      <c r="I64" s="48">
        <f t="shared" si="8"/>
        <v>470.00000000000045</v>
      </c>
      <c r="J64">
        <f t="shared" si="6"/>
        <v>0</v>
      </c>
    </row>
    <row r="65" spans="1:13" x14ac:dyDescent="0.25">
      <c r="A65" s="14"/>
      <c r="B65" s="32"/>
      <c r="C65" s="32"/>
      <c r="D65" s="32"/>
      <c r="E65" s="43"/>
      <c r="F65" s="44"/>
      <c r="G65" s="44"/>
      <c r="H65" s="44"/>
      <c r="I65" s="44"/>
    </row>
    <row r="66" spans="1:13" x14ac:dyDescent="0.25">
      <c r="A66" s="64"/>
      <c r="B66" s="32"/>
      <c r="C66" s="32"/>
      <c r="D66" s="32"/>
      <c r="E66" s="28"/>
      <c r="F66" s="44"/>
      <c r="G66" s="44"/>
      <c r="H66" s="44"/>
      <c r="I66" s="44"/>
    </row>
    <row r="67" spans="1:13" x14ac:dyDescent="0.25">
      <c r="A67" s="14"/>
      <c r="B67" s="14"/>
      <c r="C67" s="14"/>
      <c r="D67" s="14"/>
      <c r="E67" s="14"/>
      <c r="F67" s="123"/>
      <c r="G67" s="14"/>
      <c r="H67" s="14"/>
      <c r="I67" s="14"/>
      <c r="J67" s="14"/>
      <c r="K67" s="14"/>
      <c r="L67" s="14"/>
      <c r="M67" s="14"/>
    </row>
    <row r="68" spans="1:13" x14ac:dyDescent="0.25">
      <c r="A68" s="14"/>
      <c r="B68" s="14"/>
      <c r="C68" s="14"/>
      <c r="D68" s="14"/>
      <c r="E68" s="14"/>
      <c r="F68" s="123"/>
      <c r="G68" s="14"/>
      <c r="H68" s="14"/>
      <c r="I68" s="14"/>
      <c r="J68" s="14"/>
      <c r="K68" s="14"/>
      <c r="L68" s="14"/>
      <c r="M68" s="14"/>
    </row>
    <row r="69" spans="1:13" x14ac:dyDescent="0.25">
      <c r="A69" s="14"/>
      <c r="B69" s="14"/>
      <c r="C69" s="14"/>
      <c r="D69" s="14"/>
      <c r="E69" s="14"/>
      <c r="F69" s="123"/>
      <c r="G69" s="14"/>
      <c r="H69" s="14"/>
      <c r="I69" s="14"/>
      <c r="J69" s="14"/>
      <c r="K69" s="14"/>
      <c r="L69" s="14"/>
      <c r="M69" s="14"/>
    </row>
    <row r="70" spans="1:13" x14ac:dyDescent="0.25">
      <c r="A70" s="14"/>
      <c r="B70" s="14"/>
      <c r="C70" s="14"/>
      <c r="D70" s="14"/>
      <c r="E70" s="14"/>
      <c r="F70" s="123"/>
      <c r="G70" s="14"/>
      <c r="H70" s="14"/>
      <c r="I70" s="14"/>
      <c r="J70" s="14"/>
      <c r="K70" s="14"/>
      <c r="L70" s="14"/>
      <c r="M70" s="14"/>
    </row>
    <row r="71" spans="1:13" x14ac:dyDescent="0.25">
      <c r="A71" s="14"/>
      <c r="B71" s="14"/>
      <c r="C71" s="14"/>
      <c r="D71" s="14"/>
      <c r="E71" s="14"/>
      <c r="F71" s="123"/>
      <c r="G71" s="14"/>
      <c r="H71" s="14"/>
      <c r="I71" s="14"/>
      <c r="J71" s="14"/>
      <c r="K71" s="14"/>
      <c r="L71" s="14"/>
      <c r="M71" s="14"/>
    </row>
    <row r="72" spans="1:13" x14ac:dyDescent="0.25">
      <c r="A72" s="14"/>
      <c r="B72" s="14"/>
      <c r="C72" s="14"/>
      <c r="D72" s="14"/>
      <c r="E72" s="14"/>
      <c r="F72" s="123"/>
      <c r="G72" s="14"/>
      <c r="H72" s="14"/>
      <c r="I72" s="14"/>
      <c r="J72" s="14"/>
      <c r="K72" s="14"/>
      <c r="L72" s="14"/>
      <c r="M72" s="14"/>
    </row>
    <row r="73" spans="1:13" x14ac:dyDescent="0.25">
      <c r="A73" s="14"/>
      <c r="B73" s="14"/>
      <c r="C73" s="14"/>
      <c r="D73" s="14"/>
      <c r="E73" s="14"/>
      <c r="F73" s="123"/>
      <c r="G73" s="14"/>
      <c r="H73" s="14"/>
      <c r="I73" s="14"/>
      <c r="J73" s="14"/>
      <c r="K73" s="14"/>
      <c r="L73" s="14"/>
      <c r="M73" s="14"/>
    </row>
    <row r="74" spans="1:13" x14ac:dyDescent="0.25">
      <c r="A74" s="14"/>
      <c r="B74" s="14"/>
      <c r="C74" s="14"/>
      <c r="D74" s="14"/>
      <c r="E74" s="14"/>
      <c r="F74" s="123"/>
      <c r="G74" s="14"/>
      <c r="H74" s="14"/>
      <c r="I74" s="14"/>
      <c r="J74" s="14"/>
      <c r="K74" s="14"/>
      <c r="L74" s="14"/>
      <c r="M74" s="14"/>
    </row>
    <row r="75" spans="1:13" x14ac:dyDescent="0.25">
      <c r="A75" s="14"/>
      <c r="B75" s="14"/>
      <c r="C75" s="14"/>
      <c r="D75" s="14"/>
      <c r="E75" s="14"/>
      <c r="F75" s="123"/>
      <c r="G75" s="14"/>
      <c r="H75" s="14"/>
      <c r="I75" s="14"/>
      <c r="J75" s="14"/>
      <c r="K75" s="14"/>
      <c r="L75" s="14"/>
      <c r="M75" s="14"/>
    </row>
    <row r="76" spans="1:13" x14ac:dyDescent="0.25">
      <c r="A76" s="14"/>
      <c r="B76" s="14"/>
      <c r="C76" s="14"/>
      <c r="D76" s="14"/>
      <c r="E76" s="14"/>
      <c r="F76" s="123"/>
      <c r="G76" s="14"/>
      <c r="H76" s="14"/>
      <c r="I76" s="14"/>
      <c r="J76" s="14"/>
      <c r="K76" s="14"/>
      <c r="L76" s="14"/>
      <c r="M76" s="14"/>
    </row>
    <row r="77" spans="1:13" x14ac:dyDescent="0.25">
      <c r="A77" s="14"/>
      <c r="B77" s="14"/>
      <c r="C77" s="14"/>
      <c r="D77" s="14"/>
      <c r="E77" s="14"/>
      <c r="F77" s="123"/>
      <c r="G77" s="14"/>
      <c r="H77" s="14"/>
      <c r="I77" s="14"/>
      <c r="J77" s="14"/>
      <c r="K77" s="14"/>
      <c r="L77" s="14"/>
      <c r="M77" s="14"/>
    </row>
    <row r="78" spans="1:13" x14ac:dyDescent="0.25">
      <c r="A78" s="14"/>
      <c r="B78" s="14"/>
      <c r="C78" s="14"/>
      <c r="D78" s="14"/>
      <c r="E78" s="14"/>
      <c r="F78" s="123"/>
      <c r="G78" s="14"/>
      <c r="H78" s="14"/>
      <c r="I78" s="14"/>
      <c r="J78" s="14"/>
      <c r="K78" s="14"/>
      <c r="L78" s="14"/>
      <c r="M78" s="14"/>
    </row>
    <row r="79" spans="1:13" x14ac:dyDescent="0.25">
      <c r="A79" s="14"/>
      <c r="B79" s="14"/>
      <c r="C79" s="14"/>
      <c r="D79" s="14"/>
      <c r="E79" s="14"/>
      <c r="F79" s="123"/>
      <c r="G79" s="14"/>
      <c r="H79" s="14"/>
      <c r="I79" s="14"/>
      <c r="J79" s="14"/>
      <c r="K79" s="14"/>
      <c r="L79" s="14"/>
      <c r="M79" s="14"/>
    </row>
    <row r="80" spans="1:13" x14ac:dyDescent="0.25">
      <c r="A80" s="14"/>
      <c r="B80" s="14"/>
      <c r="C80" s="14"/>
      <c r="D80" s="14"/>
      <c r="E80" s="14"/>
      <c r="F80" s="123"/>
      <c r="G80" s="14"/>
      <c r="H80" s="14"/>
      <c r="I80" s="14"/>
      <c r="J80" s="14"/>
      <c r="K80" s="14"/>
      <c r="L80" s="14"/>
      <c r="M80" s="14"/>
    </row>
    <row r="81" spans="1:13" x14ac:dyDescent="0.25">
      <c r="A81" s="14"/>
      <c r="B81" s="14"/>
      <c r="C81" s="14"/>
      <c r="D81" s="14"/>
      <c r="E81" s="14"/>
      <c r="F81" s="123"/>
      <c r="G81" s="14"/>
      <c r="H81" s="14"/>
      <c r="I81" s="14"/>
      <c r="J81" s="14"/>
      <c r="K81" s="14"/>
      <c r="L81" s="14"/>
      <c r="M81" s="14"/>
    </row>
    <row r="82" spans="1:13" x14ac:dyDescent="0.25">
      <c r="A82" s="14"/>
      <c r="B82" s="14"/>
      <c r="C82" s="14"/>
      <c r="D82" s="14"/>
      <c r="E82" s="14"/>
      <c r="F82" s="123"/>
      <c r="G82" s="14"/>
      <c r="H82" s="14"/>
      <c r="I82" s="14"/>
      <c r="J82" s="14"/>
      <c r="K82" s="14"/>
      <c r="L82" s="14"/>
      <c r="M82" s="14"/>
    </row>
    <row r="83" spans="1:13" x14ac:dyDescent="0.25">
      <c r="A83" s="14"/>
      <c r="B83" s="14"/>
      <c r="C83" s="14"/>
      <c r="D83" s="14"/>
      <c r="E83" s="14"/>
      <c r="F83" s="123"/>
      <c r="G83" s="14"/>
      <c r="H83" s="14"/>
      <c r="I83" s="14"/>
      <c r="J83" s="14"/>
      <c r="K83" s="14"/>
      <c r="L83" s="14"/>
      <c r="M83" s="14"/>
    </row>
    <row r="84" spans="1:13" x14ac:dyDescent="0.25">
      <c r="A84" s="14"/>
      <c r="B84" s="14"/>
      <c r="C84" s="14"/>
      <c r="D84" s="14"/>
      <c r="E84" s="14"/>
      <c r="F84" s="123"/>
      <c r="G84" s="14"/>
      <c r="H84" s="14"/>
      <c r="I84" s="14"/>
      <c r="J84" s="14"/>
      <c r="K84" s="14"/>
      <c r="L84" s="14"/>
      <c r="M84" s="14"/>
    </row>
    <row r="85" spans="1:13" x14ac:dyDescent="0.25">
      <c r="A85" s="14"/>
      <c r="B85" s="14"/>
      <c r="C85" s="123"/>
      <c r="D85" s="14"/>
      <c r="E85" s="14"/>
      <c r="F85" s="123"/>
      <c r="G85" s="14"/>
      <c r="H85" s="14"/>
      <c r="I85" s="14"/>
      <c r="J85" s="14"/>
      <c r="K85" s="14"/>
      <c r="L85" s="14"/>
      <c r="M85" s="14"/>
    </row>
    <row r="86" spans="1:13" x14ac:dyDescent="0.25">
      <c r="A86" s="14"/>
      <c r="B86" s="14"/>
      <c r="C86" s="123"/>
      <c r="D86" s="14"/>
      <c r="E86" s="14"/>
      <c r="F86" s="14"/>
      <c r="G86" s="14"/>
      <c r="H86" s="14"/>
      <c r="I86" s="14"/>
      <c r="J86" s="14"/>
      <c r="K86" s="14"/>
      <c r="L86" s="14"/>
      <c r="M86" s="14"/>
    </row>
    <row r="87" spans="1:13" x14ac:dyDescent="0.25">
      <c r="A87" s="14"/>
      <c r="B87" s="14"/>
      <c r="C87" s="123"/>
      <c r="D87" s="14"/>
      <c r="E87" s="14"/>
      <c r="F87" s="14"/>
      <c r="G87" s="14"/>
      <c r="H87" s="14"/>
      <c r="I87" s="14"/>
      <c r="J87" s="14"/>
      <c r="K87" s="14"/>
      <c r="L87" s="14"/>
      <c r="M87" s="14"/>
    </row>
    <row r="88" spans="1:13" x14ac:dyDescent="0.25">
      <c r="A88" s="14"/>
      <c r="B88" s="14"/>
      <c r="C88" s="14"/>
      <c r="D88" s="14"/>
      <c r="E88" s="14"/>
      <c r="F88" s="14"/>
      <c r="G88" s="14"/>
      <c r="H88" s="14"/>
      <c r="I88" s="14"/>
      <c r="J88" s="14"/>
      <c r="K88" s="14"/>
      <c r="L88" s="14"/>
      <c r="M88" s="14"/>
    </row>
    <row r="89" spans="1:13" x14ac:dyDescent="0.25">
      <c r="C89" s="53"/>
      <c r="D89" s="37"/>
      <c r="E89" s="37"/>
      <c r="F89" s="37"/>
      <c r="H89" s="10"/>
    </row>
  </sheetData>
  <mergeCells count="2">
    <mergeCell ref="K10:L10"/>
    <mergeCell ref="M10:N1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66"/>
  <sheetViews>
    <sheetView workbookViewId="0">
      <selection activeCell="K64" sqref="K64"/>
    </sheetView>
  </sheetViews>
  <sheetFormatPr defaultRowHeight="15" x14ac:dyDescent="0.25"/>
  <cols>
    <col min="1" max="1" width="9.28515625" customWidth="1"/>
    <col min="3" max="3" width="9" customWidth="1"/>
    <col min="4" max="4" width="8.7109375" customWidth="1"/>
    <col min="7" max="7" width="9.42578125" customWidth="1"/>
    <col min="8" max="8" width="10.28515625" customWidth="1"/>
    <col min="10" max="10" width="9.28515625" bestFit="1" customWidth="1"/>
    <col min="11" max="11" width="10.5703125" bestFit="1" customWidth="1"/>
    <col min="12" max="12" width="9.5703125" bestFit="1" customWidth="1"/>
    <col min="13" max="13" width="9.5703125" customWidth="1"/>
    <col min="14" max="14" width="9.5703125" bestFit="1" customWidth="1"/>
    <col min="15" max="15" width="12.5703125" bestFit="1" customWidth="1"/>
  </cols>
  <sheetData>
    <row r="1" spans="1:19" ht="17.25" x14ac:dyDescent="0.25">
      <c r="A1" s="2" t="s">
        <v>216</v>
      </c>
      <c r="G1" s="28" t="s">
        <v>100</v>
      </c>
    </row>
    <row r="3" spans="1:19" ht="18" x14ac:dyDescent="0.35">
      <c r="A3" t="s">
        <v>90</v>
      </c>
      <c r="O3" s="67"/>
    </row>
    <row r="5" spans="1:19" x14ac:dyDescent="0.25">
      <c r="A5" s="2" t="s">
        <v>109</v>
      </c>
    </row>
    <row r="6" spans="1:19" x14ac:dyDescent="0.25">
      <c r="A6" s="1"/>
      <c r="B6" s="28" t="s">
        <v>91</v>
      </c>
      <c r="C6" s="24" t="s">
        <v>110</v>
      </c>
      <c r="D6" s="1" t="s">
        <v>94</v>
      </c>
      <c r="E6" s="1" t="s">
        <v>31</v>
      </c>
      <c r="F6" s="1" t="s">
        <v>35</v>
      </c>
      <c r="G6" s="1" t="s">
        <v>37</v>
      </c>
      <c r="H6" s="1" t="s">
        <v>38</v>
      </c>
      <c r="I6" s="1" t="s">
        <v>39</v>
      </c>
      <c r="J6" s="1" t="s">
        <v>40</v>
      </c>
      <c r="K6" s="1" t="s">
        <v>41</v>
      </c>
      <c r="L6" s="1" t="s">
        <v>17</v>
      </c>
      <c r="M6" s="67"/>
    </row>
    <row r="7" spans="1:19" x14ac:dyDescent="0.25">
      <c r="A7" s="125"/>
      <c r="B7" s="85">
        <f>EconModel!B6</f>
        <v>12500</v>
      </c>
      <c r="C7" s="94">
        <f>EconModel!L23</f>
        <v>630</v>
      </c>
      <c r="D7" s="94">
        <f>EconModel!L24</f>
        <v>215</v>
      </c>
      <c r="E7" s="94">
        <f>EconModel!L25</f>
        <v>80</v>
      </c>
      <c r="F7" s="85">
        <f>EconModel!C6</f>
        <v>501</v>
      </c>
      <c r="G7" s="52">
        <v>0.2</v>
      </c>
      <c r="H7" s="114">
        <f>EconModel!F6*10</f>
        <v>2</v>
      </c>
      <c r="I7" s="114">
        <f>EconModel!G6</f>
        <v>0.05</v>
      </c>
      <c r="J7" s="114">
        <f>EconModel!H6</f>
        <v>1200</v>
      </c>
      <c r="K7" s="114">
        <f>EconModel!I6*10</f>
        <v>0.4</v>
      </c>
      <c r="L7" s="85">
        <v>0.75</v>
      </c>
      <c r="M7" s="122"/>
      <c r="N7" s="1"/>
    </row>
    <row r="8" spans="1:19" x14ac:dyDescent="0.25">
      <c r="A8" s="66" t="s">
        <v>20</v>
      </c>
      <c r="B8" s="66" t="s">
        <v>21</v>
      </c>
      <c r="C8" s="66" t="s">
        <v>22</v>
      </c>
      <c r="D8" s="66" t="s">
        <v>25</v>
      </c>
      <c r="E8" s="66" t="s">
        <v>26</v>
      </c>
      <c r="F8" s="66" t="s">
        <v>27</v>
      </c>
      <c r="G8" s="15" t="s">
        <v>28</v>
      </c>
      <c r="H8" s="15" t="s">
        <v>29</v>
      </c>
      <c r="I8" s="66" t="s">
        <v>30</v>
      </c>
      <c r="J8" s="15" t="s">
        <v>32</v>
      </c>
      <c r="K8" s="15" t="s">
        <v>33</v>
      </c>
      <c r="L8" s="66" t="s">
        <v>34</v>
      </c>
    </row>
    <row r="9" spans="1:19" x14ac:dyDescent="0.25">
      <c r="A9" s="114">
        <f>EconModel!N11</f>
        <v>-2.0661142857142853</v>
      </c>
      <c r="B9" s="114">
        <f>EconModel!N12</f>
        <v>5.9761142857142859</v>
      </c>
      <c r="C9" s="114">
        <f>EconModel!N13</f>
        <v>-2.91</v>
      </c>
      <c r="D9" s="114">
        <f>EconModel!N14</f>
        <v>0.87142857142857133</v>
      </c>
      <c r="E9" s="114">
        <f>EconModel!N15</f>
        <v>0.72857142857142865</v>
      </c>
      <c r="F9" s="114">
        <f>EconModel!N16</f>
        <v>-1</v>
      </c>
      <c r="G9" s="114">
        <f>EconModel!N17</f>
        <v>1</v>
      </c>
      <c r="H9" s="114">
        <f>EconModel!N18</f>
        <v>1</v>
      </c>
      <c r="I9" s="114">
        <f>EconModel!N19</f>
        <v>-2</v>
      </c>
      <c r="J9" s="114">
        <f>EconModel!N20</f>
        <v>1.0214285714285714</v>
      </c>
      <c r="K9" s="114">
        <f>EconModel!N21</f>
        <v>7.857142857142857E-2</v>
      </c>
      <c r="L9" s="114">
        <f>EconModel!N22</f>
        <v>-0.5</v>
      </c>
      <c r="O9" s="10"/>
      <c r="S9" s="1"/>
    </row>
    <row r="10" spans="1:19" ht="18.75" x14ac:dyDescent="0.35">
      <c r="A10" t="s">
        <v>38</v>
      </c>
      <c r="B10" s="1" t="s">
        <v>118</v>
      </c>
      <c r="C10" s="1" t="s">
        <v>111</v>
      </c>
      <c r="D10" s="1" t="s">
        <v>17</v>
      </c>
      <c r="E10" s="1" t="s">
        <v>118</v>
      </c>
      <c r="F10" s="1" t="s">
        <v>111</v>
      </c>
      <c r="G10" s="1" t="s">
        <v>17</v>
      </c>
      <c r="H10" s="67" t="s">
        <v>103</v>
      </c>
      <c r="R10" s="1"/>
      <c r="S10" s="1"/>
    </row>
    <row r="11" spans="1:19" x14ac:dyDescent="0.25">
      <c r="A11" s="57">
        <v>0</v>
      </c>
      <c r="B11" s="51">
        <f>MAX(O$9,-(G$7*B$7*B$9-$A11*C$7+$A11*D$7*E$9+$A11*E$7*H$9-I$7*B$7*B$9-K$7*C$7/L$7+K$7*D$7*E$9/L$7+K$7*E$7*H$9/L$7)/2/(G$7*B$7*C$9+$A11*D$7*F$9+$A11*E$7*I$9-I$7*B$7*C$9+K$7*D$7*F$9/L$7+K$7*E$7*I$9/L$7))</f>
        <v>0.97197116548276763</v>
      </c>
      <c r="C11" s="38">
        <f>G$7*B$7*(A$9+B$9*B11+C$9*B11^2)+$A11*(F$7-(C$7*B11-D$7*(D$9+E$9*B11+F$9*B11^2)-E$7*(G$9+H$9*B11+I$9*B11^2)))-I$7*B$7*(A$9+B$9*B11+C$9*B11^2)-J$7-K$7*((C$7*B11-D$7*(D$9+E$9*B11+F$9*B11^2)-E$7*(G$9+H$9*B11+I$9*B11^2))/(J$9+K$9*B11+L$9*B11^2))</f>
        <v>362.3988385277155</v>
      </c>
      <c r="D11" s="7">
        <f>(J$9+K$9*$B11+L$9*$B11^2)</f>
        <v>0.62543376116582394</v>
      </c>
      <c r="E11" s="51">
        <f t="shared" ref="E11:E23" si="0">MAX(O$9,-(G$7*B$7*B$9-$A11*C$7+$A11*D$7*E$9+$A11*E$7*H$9-I$7*B$7*B$9-K$7*C$7/L$7+K$7*D$7*E$9/L$7+K$7*E$7*H$9/L$7)/2/(G$7*B$7*C$9+$A11*D$7*F$9+$A11*E$7*I$9-I$7*B$7*C$9+K$7*D$7*F$9/L$7+K$7*E$7*I$9/D11))</f>
        <v>0.96905937894495242</v>
      </c>
      <c r="F11" s="38">
        <f>G$7*B$7*(A$9+B$9*E11+C$9*E11^2)+$A11*(F$7-(C$7*E11-D$7*(D$9+E$9*E11+F$9*E11^2)-E$7*(G$9+H$9*E11+I$9*E11^2)))-I$7*B$7*(A$9+B$9*E11+C$9*E11^2)-J$7-K$7*((C$7*E11-D$7*(D$9+E$9*E11+F$9*E11^2)-E$7*(G$9+H$9*E11+I$9*E11^2))/(J$9+K$9*E11+L$9*E11^2))</f>
        <v>363.93011718365454</v>
      </c>
      <c r="G11" s="7">
        <f>(J$9+K$9*$E11+L$9*$E11^2)</f>
        <v>0.62803091124222932</v>
      </c>
      <c r="H11" s="57">
        <f>A11/10</f>
        <v>0</v>
      </c>
      <c r="R11" s="26"/>
      <c r="S11" s="38"/>
    </row>
    <row r="12" spans="1:19" x14ac:dyDescent="0.25">
      <c r="A12" s="57">
        <f>A11+0.2</f>
        <v>0.2</v>
      </c>
      <c r="B12" s="51">
        <f t="shared" ref="B12:B24" si="1">MAX(O$9,-(G$7*B$7*B$9-$A12*C$7+$A12*D$7*E$9+$A12*E$7*H$9-I$7*B$7*B$9-K$7*C$7/L$7+K$7*D$7*E$9/L$7+K$7*E$7*H$9/L$7)/2/(G$7*B$7*C$9+$A12*D$7*F$9+$A12*E$7*I$9-I$7*B$7*C$9+K$7*D$7*F$9/L$7+K$7*E$7*I$9/L$7))</f>
        <v>0.95238843018123276</v>
      </c>
      <c r="C12" s="38">
        <f t="shared" ref="C12:C29" si="2">G$7*B$7*(A$9+B$9*B12+C$9*B12^2)+$A12*(F$7-(C$7*B12-D$7*(D$9+E$9*B12+F$9*B12^2)-E$7*(G$9+H$9*B12+I$9*B12^2)))-I$7*B$7*(A$9+B$9*B12+C$9*B12^2)-J$7-K$7*((C$7*B12-D$7*(D$9+E$9*B12+F$9*B12^2)-E$7*(G$9+H$9*B12+I$9*B12^2))/(J$9+K$9*B12+L$9*B12^2))</f>
        <v>380.96996386006873</v>
      </c>
      <c r="D12" s="7">
        <f t="shared" ref="D12:D29" si="3">(J$9+K$9*$B12+L$9*$B12^2)</f>
        <v>0.6427372299712748</v>
      </c>
      <c r="E12" s="51">
        <f t="shared" si="0"/>
        <v>0.9500278365029583</v>
      </c>
      <c r="F12" s="38">
        <f t="shared" ref="F12:F29" si="4">G$7*B$7*(A$9+B$9*E12+C$9*E12^2)+$A12*(F$7-(C$7*E12-D$7*(D$9+E$9*E12+F$9*E12^2)-E$7*(G$9+H$9*E12+I$9*E12^2)))-I$7*B$7*(A$9+B$9*E12+C$9*E12^2)-J$7-K$7*((C$7*E12-D$7*(D$9+E$9*E12+F$9*E12^2)-E$7*(G$9+H$9*E12+I$9*E12^2))/(J$9+K$9*E12+L$9*E12^2))</f>
        <v>382.05491130747697</v>
      </c>
      <c r="G12" s="7">
        <f t="shared" ref="G12:G30" si="5">(J$9+K$9*$E12+L$9*$E12^2)</f>
        <v>0.64479717065998665</v>
      </c>
      <c r="H12" s="57">
        <f t="shared" ref="H12:H36" si="6">A12/10</f>
        <v>0.02</v>
      </c>
      <c r="R12" s="26"/>
      <c r="S12" s="38"/>
    </row>
    <row r="13" spans="1:19" x14ac:dyDescent="0.25">
      <c r="A13" s="57">
        <f t="shared" ref="A13:A29" si="7">A12+0.2</f>
        <v>0.4</v>
      </c>
      <c r="B13" s="51">
        <f t="shared" si="1"/>
        <v>0.93331159977446299</v>
      </c>
      <c r="C13" s="38">
        <f t="shared" si="2"/>
        <v>402.30623378415731</v>
      </c>
      <c r="D13" s="7">
        <f t="shared" si="3"/>
        <v>0.65922492598835269</v>
      </c>
      <c r="E13" s="51">
        <f t="shared" si="0"/>
        <v>0.93142662900106277</v>
      </c>
      <c r="F13" s="38">
        <f t="shared" si="4"/>
        <v>403.06394528016313</v>
      </c>
      <c r="G13" s="7">
        <f t="shared" si="5"/>
        <v>0.66083430967251311</v>
      </c>
      <c r="H13" s="57">
        <f t="shared" si="6"/>
        <v>0.04</v>
      </c>
      <c r="R13" s="26"/>
      <c r="S13" s="38"/>
    </row>
    <row r="14" spans="1:19" x14ac:dyDescent="0.25">
      <c r="A14" s="57">
        <f t="shared" si="7"/>
        <v>0.60000000000000009</v>
      </c>
      <c r="B14" s="51">
        <f t="shared" si="1"/>
        <v>0.91472131977126658</v>
      </c>
      <c r="C14" s="38">
        <f t="shared" si="2"/>
        <v>426.47793979976876</v>
      </c>
      <c r="D14" s="7">
        <f t="shared" si="3"/>
        <v>0.67494198584569842</v>
      </c>
      <c r="E14" s="51">
        <f t="shared" si="0"/>
        <v>0.91324775812401526</v>
      </c>
      <c r="F14" s="38">
        <f t="shared" si="4"/>
        <v>426.99604071233307</v>
      </c>
      <c r="G14" s="7">
        <f t="shared" si="5"/>
        <v>0.67617301856475986</v>
      </c>
      <c r="H14" s="57">
        <f t="shared" si="6"/>
        <v>6.0000000000000012E-2</v>
      </c>
      <c r="R14" s="26"/>
      <c r="S14" s="38"/>
    </row>
    <row r="15" spans="1:19" x14ac:dyDescent="0.25">
      <c r="A15" s="57">
        <f t="shared" si="7"/>
        <v>0.8</v>
      </c>
      <c r="B15" s="51">
        <f t="shared" si="1"/>
        <v>0.89659921051316649</v>
      </c>
      <c r="C15" s="38">
        <f t="shared" si="2"/>
        <v>453.52214364816064</v>
      </c>
      <c r="D15" s="7">
        <f t="shared" si="3"/>
        <v>0.68993058010818908</v>
      </c>
      <c r="E15" s="51">
        <f t="shared" si="0"/>
        <v>0.89548221661349414</v>
      </c>
      <c r="F15" s="38">
        <f t="shared" si="4"/>
        <v>453.86545195848203</v>
      </c>
      <c r="G15" s="7">
        <f t="shared" si="5"/>
        <v>0.69084368831269471</v>
      </c>
      <c r="H15" s="57">
        <f t="shared" si="6"/>
        <v>0.08</v>
      </c>
      <c r="R15" s="26"/>
      <c r="S15" s="38"/>
    </row>
    <row r="16" spans="1:19" x14ac:dyDescent="0.25">
      <c r="A16" s="57">
        <f t="shared" si="7"/>
        <v>1</v>
      </c>
      <c r="B16" s="51">
        <f t="shared" si="1"/>
        <v>0.87892780656303959</v>
      </c>
      <c r="C16" s="38">
        <f t="shared" si="2"/>
        <v>483.45065834427368</v>
      </c>
      <c r="D16" s="7">
        <f t="shared" si="3"/>
        <v>0.70423014022652353</v>
      </c>
      <c r="E16" s="51">
        <f t="shared" si="0"/>
        <v>0.87812032914650584</v>
      </c>
      <c r="F16" s="38">
        <f t="shared" si="4"/>
        <v>483.66731784188551</v>
      </c>
      <c r="G16" s="7">
        <f t="shared" si="5"/>
        <v>0.7048760839170416</v>
      </c>
      <c r="H16" s="57">
        <f t="shared" si="6"/>
        <v>0.1</v>
      </c>
      <c r="R16" s="26"/>
      <c r="S16" s="38"/>
    </row>
    <row r="17" spans="1:19" x14ac:dyDescent="0.25">
      <c r="A17" s="57">
        <f t="shared" si="7"/>
        <v>1.2</v>
      </c>
      <c r="B17" s="51">
        <f t="shared" si="1"/>
        <v>0.86169050056051077</v>
      </c>
      <c r="C17" s="38">
        <f t="shared" si="2"/>
        <v>516.25608730816089</v>
      </c>
      <c r="D17" s="7">
        <f t="shared" si="3"/>
        <v>0.7178775656659282</v>
      </c>
      <c r="E17" s="51">
        <f t="shared" si="0"/>
        <v>0.86115200513886347</v>
      </c>
      <c r="F17" s="38">
        <f t="shared" si="4"/>
        <v>516.38195766746139</v>
      </c>
      <c r="G17" s="7">
        <f t="shared" si="5"/>
        <v>0.71829912671213947</v>
      </c>
      <c r="H17" s="57">
        <f t="shared" si="6"/>
        <v>0.12</v>
      </c>
      <c r="R17" s="26"/>
      <c r="S17" s="38"/>
    </row>
    <row r="18" spans="1:19" x14ac:dyDescent="0.25">
      <c r="A18" s="57">
        <f t="shared" si="7"/>
        <v>1.4</v>
      </c>
      <c r="B18" s="51">
        <f t="shared" si="1"/>
        <v>0.84487149116471649</v>
      </c>
      <c r="C18" s="38">
        <f t="shared" si="2"/>
        <v>551.9164341649514</v>
      </c>
      <c r="D18" s="7">
        <f t="shared" si="3"/>
        <v>0.73090741315721042</v>
      </c>
      <c r="E18" s="51">
        <f t="shared" si="0"/>
        <v>0.84456692694555835</v>
      </c>
      <c r="F18" s="38">
        <f t="shared" si="4"/>
        <v>551.97826451828985</v>
      </c>
      <c r="G18" s="7">
        <f t="shared" si="5"/>
        <v>0.73114075435773318</v>
      </c>
      <c r="H18" s="57">
        <f t="shared" si="6"/>
        <v>0.13999999999999999</v>
      </c>
      <c r="R18" s="26"/>
      <c r="S18" s="38"/>
    </row>
    <row r="19" spans="1:19" x14ac:dyDescent="0.25">
      <c r="A19" s="57">
        <f t="shared" si="7"/>
        <v>1.5999999999999999</v>
      </c>
      <c r="B19" s="51">
        <f t="shared" si="1"/>
        <v>0.82845573474144896</v>
      </c>
      <c r="C19" s="38">
        <f t="shared" si="2"/>
        <v>590.39864827801011</v>
      </c>
      <c r="D19" s="7">
        <f t="shared" si="3"/>
        <v>0.74335206980240243</v>
      </c>
      <c r="E19" s="51">
        <f t="shared" si="0"/>
        <v>0.82835469020238606</v>
      </c>
      <c r="F19" s="38">
        <f t="shared" si="4"/>
        <v>590.41639197394795</v>
      </c>
      <c r="G19" s="7">
        <f t="shared" si="5"/>
        <v>0.74342783641147037</v>
      </c>
      <c r="H19" s="57">
        <f t="shared" si="6"/>
        <v>0.15999999999999998</v>
      </c>
      <c r="R19" s="26"/>
      <c r="S19" s="38"/>
    </row>
    <row r="20" spans="1:19" x14ac:dyDescent="0.25">
      <c r="A20" s="57">
        <f t="shared" si="7"/>
        <v>1.7999999999999998</v>
      </c>
      <c r="B20" s="51">
        <f t="shared" si="1"/>
        <v>0.81242890048418182</v>
      </c>
      <c r="C20" s="38">
        <f t="shared" si="2"/>
        <v>631.66136952087891</v>
      </c>
      <c r="D20" s="7">
        <f t="shared" si="3"/>
        <v>0.75524191158136023</v>
      </c>
      <c r="E20" s="51">
        <f t="shared" si="0"/>
        <v>0.81250490840444811</v>
      </c>
      <c r="F20" s="38">
        <f t="shared" si="4"/>
        <v>631.64988615357765</v>
      </c>
      <c r="G20" s="7">
        <f t="shared" si="5"/>
        <v>0.75518612971254617</v>
      </c>
      <c r="H20" s="57">
        <f t="shared" si="6"/>
        <v>0.18</v>
      </c>
      <c r="R20" s="26"/>
      <c r="S20" s="38"/>
    </row>
    <row r="21" spans="1:19" x14ac:dyDescent="0.25">
      <c r="A21" s="57">
        <f t="shared" si="7"/>
        <v>1.9999999999999998</v>
      </c>
      <c r="B21" s="51">
        <f t="shared" si="1"/>
        <v>0.79677732868757245</v>
      </c>
      <c r="C21" s="38">
        <f t="shared" si="2"/>
        <v>675.65706482721907</v>
      </c>
      <c r="D21" s="7">
        <f t="shared" si="3"/>
        <v>0.76660544864162872</v>
      </c>
      <c r="E21" s="51">
        <f t="shared" si="0"/>
        <v>0.79700729055886443</v>
      </c>
      <c r="F21" s="38">
        <f t="shared" si="4"/>
        <v>675.6273808572472</v>
      </c>
      <c r="G21" s="7">
        <f t="shared" si="5"/>
        <v>0.76644026222763395</v>
      </c>
      <c r="H21" s="57">
        <f t="shared" si="6"/>
        <v>0.19999999999999998</v>
      </c>
      <c r="R21" s="26"/>
      <c r="S21" s="38"/>
    </row>
    <row r="22" spans="1:19" x14ac:dyDescent="0.25">
      <c r="A22" s="57">
        <f t="shared" si="7"/>
        <v>2.1999999999999997</v>
      </c>
      <c r="B22" s="51">
        <f t="shared" si="1"/>
        <v>0.78148799191807872</v>
      </c>
      <c r="C22" s="38">
        <f t="shared" si="2"/>
        <v>722.33369879024497</v>
      </c>
      <c r="D22" s="7">
        <f t="shared" si="3"/>
        <v>0.77746945860891614</v>
      </c>
      <c r="E22" s="51">
        <f t="shared" si="0"/>
        <v>0.78185169843533309</v>
      </c>
      <c r="F22" s="38">
        <f t="shared" si="4"/>
        <v>722.29394733866707</v>
      </c>
      <c r="G22" s="7">
        <f t="shared" si="5"/>
        <v>0.77721373713252562</v>
      </c>
      <c r="H22" s="57">
        <f t="shared" si="6"/>
        <v>0.21999999999999997</v>
      </c>
      <c r="R22" s="26"/>
      <c r="S22" s="38"/>
    </row>
    <row r="23" spans="1:19" x14ac:dyDescent="0.25">
      <c r="A23" s="57">
        <f t="shared" si="7"/>
        <v>2.4</v>
      </c>
      <c r="B23" s="51">
        <f t="shared" si="1"/>
        <v>0.76654845884969813</v>
      </c>
      <c r="C23" s="38">
        <f t="shared" si="2"/>
        <v>771.63604452795084</v>
      </c>
      <c r="D23" s="7">
        <f t="shared" si="3"/>
        <v>0.78785910902719536</v>
      </c>
      <c r="E23" s="51">
        <f t="shared" si="0"/>
        <v>0.76702818827544572</v>
      </c>
      <c r="F23" s="38">
        <f t="shared" si="4"/>
        <v>771.59217007721008</v>
      </c>
      <c r="G23" s="7">
        <f t="shared" si="5"/>
        <v>0.78752895113137145</v>
      </c>
      <c r="H23" s="57">
        <f t="shared" si="6"/>
        <v>0.24</v>
      </c>
      <c r="R23" s="26"/>
      <c r="S23" s="38"/>
    </row>
    <row r="24" spans="1:19" x14ac:dyDescent="0.25">
      <c r="A24" s="57">
        <f t="shared" si="7"/>
        <v>2.6</v>
      </c>
      <c r="B24" s="51">
        <f t="shared" si="1"/>
        <v>0.75194686055383508</v>
      </c>
      <c r="C24" s="38">
        <f t="shared" si="2"/>
        <v>823.50671486785279</v>
      </c>
      <c r="D24" s="7">
        <f t="shared" si="3"/>
        <v>0.79779806992370261</v>
      </c>
      <c r="E24" s="51">
        <f>MAX(O$9,-(G$7*B$7*B$9-$A24*C$7+$A24*D$7*E$9+$A24*E$7*H$9-I$7*B$7*B$9-K$7*C$7/L$7+K$7*D$7*E$9/L$7+K$7*E$7*H$9/L$7)/2/(G$7*B$7*C$9+$A24*D$7*F$9+$A24*E$7*I$9-I$7*B$7*C$9+K$7*D$7*F$9/L$7+K$7*E$7*I$9/D24))</f>
        <v>0.75252704061350917</v>
      </c>
      <c r="F24" s="38">
        <f t="shared" si="4"/>
        <v>823.46300440034179</v>
      </c>
      <c r="G24" s="7">
        <f t="shared" si="5"/>
        <v>0.7974072226209411</v>
      </c>
      <c r="H24" s="57">
        <f t="shared" si="6"/>
        <v>0.26</v>
      </c>
      <c r="R24" s="26"/>
      <c r="S24" s="38"/>
    </row>
    <row r="25" spans="1:19" x14ac:dyDescent="0.25">
      <c r="A25" s="57">
        <f t="shared" si="7"/>
        <v>2.8000000000000003</v>
      </c>
      <c r="B25" s="51">
        <f>MAX(O$9,-(G$7*B$7*B$9-$A25*C$7+$A25*D$7*E$9+$A25*E$7*H$9-I$7*B$7*B$9-K$7*C$7/L$7+K$7*D$7*E$9/L$7+K$7*E$7*H$9/L$7)/2/(G$7*B$7*C$9+$A25*D$7*F$9+$A25*E$7*I$9-I$7*B$7*C$9+K$7*D$7*F$9/L$7+K$7*E$7*I$9/L$7))</f>
        <v>0.73767185905116939</v>
      </c>
      <c r="C25" s="38">
        <f t="shared" si="2"/>
        <v>877.8869747162571</v>
      </c>
      <c r="D25" s="7">
        <f t="shared" si="3"/>
        <v>0.80730861739315907</v>
      </c>
      <c r="E25" s="51">
        <f t="shared" ref="E25:E30" si="8">MAX(O$9,-(G$7*B$7*B$9-$A25*C$7+$A25*D$7*E$9+$A25*E$7*H$9-I$7*B$7*B$9-K$7*C$7/L$7+K$7*D$7*E$9/L$7+K$7*E$7*H$9/L$7)/2/(G$7*B$7*C$9+$A25*D$7*F$9+$A25*E$7*I$9-I$7*B$7*C$9+K$7*D$7*F$9/L$7+K$7*E$7*I$9/D25))</f>
        <v>0.73833878097479499</v>
      </c>
      <c r="F25" s="38">
        <f t="shared" si="4"/>
        <v>877.84645983664052</v>
      </c>
      <c r="G25" s="7">
        <f t="shared" si="5"/>
        <v>0.806868826473775</v>
      </c>
      <c r="H25" s="57">
        <f t="shared" si="6"/>
        <v>0.28000000000000003</v>
      </c>
      <c r="R25" s="26"/>
      <c r="S25" s="38"/>
    </row>
    <row r="26" spans="1:19" x14ac:dyDescent="0.25">
      <c r="A26" s="57">
        <f t="shared" si="7"/>
        <v>3.0000000000000004</v>
      </c>
      <c r="B26" s="51">
        <f t="shared" ref="B26:B36" si="9">MAX(O$9,-(G$7*B$7*B$9-$A26*C$7+$A26*D$7*E$9+$A26*E$7*H$9-I$7*B$7*B$9-K$7*C$7/L$7+K$7*D$7*E$9/L$7+K$7*E$7*H$9/L$7)/2/(G$7*B$7*C$9+$A26*D$7*F$9+$A26*E$7*I$9-I$7*B$7*C$9+K$7*D$7*F$9/L$7+K$7*E$7*I$9/L$7))</f>
        <v>0.72371261795040587</v>
      </c>
      <c r="C26" s="38">
        <f t="shared" si="2"/>
        <v>934.71738126208925</v>
      </c>
      <c r="D26" s="7">
        <f t="shared" si="3"/>
        <v>0.81641172900578818</v>
      </c>
      <c r="E26" s="51">
        <f t="shared" si="8"/>
        <v>0.72445419356006213</v>
      </c>
      <c r="F26" s="38">
        <f t="shared" si="4"/>
        <v>934.68214381430937</v>
      </c>
      <c r="G26" s="7">
        <f t="shared" si="5"/>
        <v>0.81593303306776765</v>
      </c>
      <c r="H26" s="57">
        <f t="shared" si="6"/>
        <v>0.30000000000000004</v>
      </c>
      <c r="R26" s="26"/>
      <c r="S26" s="38"/>
    </row>
    <row r="27" spans="1:19" x14ac:dyDescent="0.25">
      <c r="A27" s="57">
        <f t="shared" si="7"/>
        <v>3.2000000000000006</v>
      </c>
      <c r="B27" s="51">
        <f t="shared" si="9"/>
        <v>0.71005877501410763</v>
      </c>
      <c r="C27" s="38">
        <f t="shared" si="2"/>
        <v>993.9382880371744</v>
      </c>
      <c r="D27" s="7">
        <f t="shared" si="3"/>
        <v>0.82512717176384087</v>
      </c>
      <c r="E27" s="51">
        <f t="shared" si="8"/>
        <v>0.71086432953412637</v>
      </c>
      <c r="F27" s="38">
        <f t="shared" si="4"/>
        <v>993.90969312157461</v>
      </c>
      <c r="G27" s="7">
        <f t="shared" si="5"/>
        <v>0.82461814981853698</v>
      </c>
      <c r="H27" s="57">
        <f t="shared" si="6"/>
        <v>0.32000000000000006</v>
      </c>
      <c r="R27" s="26"/>
      <c r="S27" s="38"/>
    </row>
    <row r="28" spans="1:19" x14ac:dyDescent="0.25">
      <c r="A28" s="57">
        <f t="shared" si="7"/>
        <v>3.4000000000000008</v>
      </c>
      <c r="B28" s="51">
        <f t="shared" si="9"/>
        <v>0.6967004165056464</v>
      </c>
      <c r="C28" s="38">
        <f t="shared" si="2"/>
        <v>1055.4902408396206</v>
      </c>
      <c r="D28" s="7">
        <f t="shared" si="3"/>
        <v>0.83347358326015863</v>
      </c>
      <c r="E28" s="51">
        <f t="shared" si="8"/>
        <v>0.69756051116629192</v>
      </c>
      <c r="F28" s="38">
        <f t="shared" si="4"/>
        <v>1055.4691149304108</v>
      </c>
      <c r="G28" s="7">
        <f t="shared" si="5"/>
        <v>0.83294156393663366</v>
      </c>
      <c r="H28" s="57">
        <f t="shared" si="6"/>
        <v>0.34000000000000008</v>
      </c>
      <c r="R28" s="26"/>
      <c r="S28" s="38"/>
    </row>
    <row r="29" spans="1:19" x14ac:dyDescent="0.25">
      <c r="A29" s="57">
        <f t="shared" si="7"/>
        <v>3.600000000000001</v>
      </c>
      <c r="B29" s="51">
        <f t="shared" si="9"/>
        <v>0.68362805318380693</v>
      </c>
      <c r="C29" s="38">
        <f t="shared" si="2"/>
        <v>1119.3142874333635</v>
      </c>
      <c r="D29" s="7">
        <f t="shared" si="3"/>
        <v>0.84146854662878656</v>
      </c>
      <c r="E29" s="51">
        <f t="shared" si="8"/>
        <v>0.68453433278971298</v>
      </c>
      <c r="F29" s="38">
        <f t="shared" si="4"/>
        <v>1119.3010547867871</v>
      </c>
      <c r="G29" s="7">
        <f t="shared" si="5"/>
        <v>0.84091978547812007</v>
      </c>
      <c r="H29" s="57">
        <f t="shared" si="6"/>
        <v>0.3600000000000001</v>
      </c>
      <c r="R29" s="26"/>
      <c r="S29" s="38"/>
    </row>
    <row r="30" spans="1:19" x14ac:dyDescent="0.25">
      <c r="A30" s="57">
        <f>A29+0.2</f>
        <v>3.8000000000000012</v>
      </c>
      <c r="B30" s="51">
        <f t="shared" si="9"/>
        <v>0.67083259782288895</v>
      </c>
      <c r="C30" s="38">
        <f>G$7*B$7*(A$9+B$9*B30+C$9*B30^2)+$A30*(F$7-(C$7*B30-D$7*(D$9+E$9*B30+F$9*B30^2)-E$7*(G$9+H$9*B30+I$9*B30^2)))-I$7*B$7*(A$9+B$9*B30+C$9*B30^2)-J$7-K$7*((C$7*B30-D$7*(D$9+E$9*B30+F$9*B30^2)-E$7*(G$9+H$9*B30+I$9*B30^2))/(J$9+K$9*B30+L$9*B30^2))</f>
        <v>1185.3522182696875</v>
      </c>
      <c r="D30" s="7">
        <f>(J$9+K$9*$B30+L$9*$B30^2)</f>
        <v>0.84912865982089536</v>
      </c>
      <c r="E30" s="51">
        <f t="shared" si="8"/>
        <v>0.67177765933224065</v>
      </c>
      <c r="F30" s="38">
        <f>G$7*B$7*(A$9+B$9*E30+C$9*E30^2)+$A30*(F$7-(C$7*E30-D$7*(D$9+E$9*E30+F$9*E30^2)-E$7*(G$9+H$9*E30+I$9*E30^2)))-I$7*B$7*(A$9+B$9*E30+C$9*E30^2)-J$7-K$7*((C$7*E30-D$7*(D$9+E$9*E30+F$9*E30^2)-E$7*(G$9+H$9*E30+I$9*E30^2))/(J$9+K$9*E30+L$9*E30^2))</f>
        <v>1185.3470055111436</v>
      </c>
      <c r="G30" s="7">
        <f t="shared" si="5"/>
        <v>0.8485684900157241</v>
      </c>
      <c r="H30" s="57">
        <f t="shared" si="6"/>
        <v>0.38000000000000012</v>
      </c>
      <c r="R30" s="26"/>
      <c r="S30" s="38"/>
    </row>
    <row r="31" spans="1:19" x14ac:dyDescent="0.25">
      <c r="A31" s="57">
        <f t="shared" ref="A31:A36" si="10">A30+0.2</f>
        <v>4.0000000000000009</v>
      </c>
      <c r="B31" s="51">
        <f t="shared" si="9"/>
        <v>0.65830534414639219</v>
      </c>
      <c r="C31" s="38">
        <f t="shared" ref="C31:C36" si="11">G$7*B$7*(A$9+B$9*B31+C$9*B31^2)+$A31*(F$7-(C$7*B31-D$7*(D$9+E$9*B31+F$9*B31^2)-E$7*(G$9+H$9*B31+I$9*B31^2)))-I$7*B$7*(A$9+B$9*B31+C$9*B31^2)-J$7-K$7*((C$7*B31-D$7*(D$9+E$9*B31+F$9*B31^2)-E$7*(G$9+H$9*B31+I$9*B31^2))/(J$9+K$9*B31+L$9*B31^2))</f>
        <v>1253.546751876255</v>
      </c>
      <c r="D31" s="7">
        <f t="shared" ref="D31:D36" si="12">(J$9+K$9*$B31+L$9*$B31^2)</f>
        <v>0.85646959968850922</v>
      </c>
      <c r="E31" s="51">
        <f t="shared" ref="E31:E36" si="13">MAX(O$9,-(G$7*B$7*B$9-$A31*C$7+$A31*D$7*E$9+$A31*E$7*H$9-I$7*B$7*B$9-K$7*C$7/L$7+K$7*D$7*E$9/L$7+K$7*E$7*H$9/L$7)/2/(G$7*B$7*C$9+$A31*D$7*F$9+$A31*E$7*I$9-I$7*B$7*C$9+K$7*D$7*F$9/L$7+K$7*E$7*I$9/D31))</f>
        <v>0.65928262300638529</v>
      </c>
      <c r="F31" s="38">
        <f t="shared" ref="F31:F36" si="14">G$7*B$7*(A$9+B$9*E31+C$9*E31^2)+$A31*(F$7-(C$7*E31-D$7*(D$9+E$9*E31+F$9*E31^2)-E$7*(G$9+H$9*E31+I$9*E31^2)))-I$7*B$7*(A$9+B$9*E31+C$9*E31^2)-J$7-K$7*((C$7*E31-D$7*(D$9+E$9*E31+F$9*E31^2)-E$7*(G$9+H$9*E31+I$9*E31^2))/(J$9+K$9*E31+L$9*E31^2))</f>
        <v>1253.549468220255</v>
      </c>
      <c r="G31" s="7">
        <f t="shared" ref="G31:G36" si="15">(J$9+K$9*$E31+L$9*$E31^2)</f>
        <v>0.85590256045141178</v>
      </c>
      <c r="H31" s="57">
        <f t="shared" si="6"/>
        <v>0.40000000000000008</v>
      </c>
      <c r="R31" s="26"/>
      <c r="S31" s="38"/>
    </row>
    <row r="32" spans="1:19" x14ac:dyDescent="0.25">
      <c r="A32" s="57">
        <f t="shared" si="10"/>
        <v>4.2000000000000011</v>
      </c>
      <c r="B32" s="51">
        <f t="shared" si="9"/>
        <v>0.64603794707165485</v>
      </c>
      <c r="C32" s="38">
        <f t="shared" si="11"/>
        <v>1323.841675764093</v>
      </c>
      <c r="D32" s="7">
        <f t="shared" si="12"/>
        <v>0.86350618131306511</v>
      </c>
      <c r="E32" s="51">
        <f t="shared" si="13"/>
        <v>0.64704161861850829</v>
      </c>
      <c r="F32" s="38">
        <f t="shared" si="14"/>
        <v>1323.8520745145001</v>
      </c>
      <c r="G32" s="7">
        <f t="shared" si="15"/>
        <v>0.8629361276363674</v>
      </c>
      <c r="H32" s="57">
        <f t="shared" si="6"/>
        <v>0.4200000000000001</v>
      </c>
      <c r="R32" s="26"/>
      <c r="S32" s="38"/>
    </row>
    <row r="33" spans="1:19" x14ac:dyDescent="0.25">
      <c r="A33" s="57">
        <f t="shared" si="10"/>
        <v>4.4000000000000012</v>
      </c>
      <c r="B33" s="51">
        <f t="shared" si="9"/>
        <v>0.63402240417124922</v>
      </c>
      <c r="C33" s="38">
        <f t="shared" si="11"/>
        <v>1396.1819515193779</v>
      </c>
      <c r="D33" s="7">
        <f t="shared" si="12"/>
        <v>0.87025241297505262</v>
      </c>
      <c r="E33" s="51">
        <f t="shared" si="13"/>
        <v>0.63504729785824365</v>
      </c>
      <c r="F33" s="38">
        <f t="shared" si="14"/>
        <v>1396.1996771488568</v>
      </c>
      <c r="G33" s="7">
        <f t="shared" si="15"/>
        <v>0.86968260957319077</v>
      </c>
      <c r="H33" s="57">
        <f t="shared" si="6"/>
        <v>0.44000000000000011</v>
      </c>
      <c r="R33" s="26"/>
      <c r="S33" s="38"/>
    </row>
    <row r="34" spans="1:19" x14ac:dyDescent="0.25">
      <c r="A34" s="57">
        <f t="shared" si="10"/>
        <v>4.6000000000000014</v>
      </c>
      <c r="B34" s="51">
        <f t="shared" si="9"/>
        <v>0.62225103826458605</v>
      </c>
      <c r="C34" s="38">
        <f t="shared" si="11"/>
        <v>1470.5137910314329</v>
      </c>
      <c r="D34" s="7">
        <f t="shared" si="12"/>
        <v>0.87672154712439698</v>
      </c>
      <c r="E34" s="51">
        <f t="shared" si="13"/>
        <v>0.62329256285173595</v>
      </c>
      <c r="F34" s="38">
        <f t="shared" si="14"/>
        <v>1470.5384151265598</v>
      </c>
      <c r="G34" s="7">
        <f t="shared" si="15"/>
        <v>0.87615474905663659</v>
      </c>
      <c r="H34" s="57">
        <f t="shared" si="6"/>
        <v>0.46000000000000013</v>
      </c>
      <c r="R34" s="26"/>
      <c r="S34" s="38"/>
    </row>
    <row r="35" spans="1:19" x14ac:dyDescent="0.25">
      <c r="A35" s="57">
        <f t="shared" si="10"/>
        <v>4.8000000000000016</v>
      </c>
      <c r="B35" s="51">
        <f t="shared" si="9"/>
        <v>0.61071648106015231</v>
      </c>
      <c r="C35" s="38">
        <f t="shared" si="11"/>
        <v>1546.7847094532387</v>
      </c>
      <c r="D35" s="7">
        <f t="shared" si="12"/>
        <v>0.88292612767833556</v>
      </c>
      <c r="E35" s="51">
        <f t="shared" si="13"/>
        <v>0.61177055920158252</v>
      </c>
      <c r="F35" s="38">
        <f t="shared" si="14"/>
        <v>1546.8157580476502</v>
      </c>
      <c r="G35" s="7">
        <f t="shared" si="15"/>
        <v>0.882364649670073</v>
      </c>
      <c r="H35" s="57">
        <f t="shared" si="6"/>
        <v>0.48000000000000015</v>
      </c>
      <c r="R35" s="26"/>
      <c r="S35" s="38"/>
    </row>
    <row r="36" spans="1:19" x14ac:dyDescent="0.25">
      <c r="A36" s="57">
        <f t="shared" si="10"/>
        <v>5.0000000000000018</v>
      </c>
      <c r="B36" s="51">
        <f t="shared" si="9"/>
        <v>0.59941165777514316</v>
      </c>
      <c r="C36" s="38">
        <f t="shared" si="11"/>
        <v>1624.9435594151414</v>
      </c>
      <c r="D36" s="7">
        <f t="shared" si="12"/>
        <v>0.88887803394395992</v>
      </c>
      <c r="E36" s="51">
        <f t="shared" si="13"/>
        <v>0.60047466868856703</v>
      </c>
      <c r="F36" s="38">
        <f t="shared" si="14"/>
        <v>1624.9805336534598</v>
      </c>
      <c r="G36" s="7">
        <f t="shared" si="15"/>
        <v>0.88832381010006511</v>
      </c>
      <c r="H36" s="57">
        <f t="shared" si="6"/>
        <v>0.50000000000000022</v>
      </c>
      <c r="R36" s="26"/>
      <c r="S36" s="38"/>
    </row>
    <row r="37" spans="1:19" x14ac:dyDescent="0.25">
      <c r="A37" s="57"/>
      <c r="B37" s="51"/>
      <c r="C37" s="38"/>
      <c r="D37" s="7"/>
      <c r="E37" s="51"/>
      <c r="F37" s="38"/>
      <c r="G37" s="7"/>
      <c r="H37" s="57"/>
      <c r="R37" s="26"/>
      <c r="S37" s="38"/>
    </row>
    <row r="38" spans="1:19" x14ac:dyDescent="0.25">
      <c r="A38" s="70" t="s">
        <v>125</v>
      </c>
      <c r="B38" s="51"/>
      <c r="C38" s="38"/>
      <c r="D38" s="7"/>
      <c r="E38" s="51"/>
      <c r="F38" s="38"/>
      <c r="G38" s="7"/>
      <c r="P38" s="26"/>
    </row>
    <row r="39" spans="1:19" x14ac:dyDescent="0.25">
      <c r="B39" t="s">
        <v>122</v>
      </c>
      <c r="D39" t="s">
        <v>121</v>
      </c>
      <c r="F39" t="s">
        <v>123</v>
      </c>
      <c r="P39" s="26"/>
    </row>
    <row r="40" spans="1:19" x14ac:dyDescent="0.25">
      <c r="A40" s="1" t="s">
        <v>119</v>
      </c>
      <c r="B40" s="1" t="s">
        <v>46</v>
      </c>
      <c r="C40" s="1" t="s">
        <v>120</v>
      </c>
      <c r="D40" s="1" t="s">
        <v>46</v>
      </c>
      <c r="E40" s="1" t="s">
        <v>120</v>
      </c>
      <c r="F40" s="1" t="s">
        <v>46</v>
      </c>
      <c r="G40" s="1" t="s">
        <v>120</v>
      </c>
    </row>
    <row r="41" spans="1:19" x14ac:dyDescent="0.25">
      <c r="A41">
        <v>0</v>
      </c>
      <c r="B41" s="51">
        <v>0.94599230156101421</v>
      </c>
      <c r="C41" s="26">
        <v>-242.83808238169462</v>
      </c>
      <c r="D41" s="10">
        <v>0.97135852869387507</v>
      </c>
      <c r="E41" s="26">
        <v>362.73166636506329</v>
      </c>
      <c r="F41" s="51">
        <v>0.98458422854179017</v>
      </c>
      <c r="G41" s="26">
        <v>977.33866969877022</v>
      </c>
    </row>
    <row r="42" spans="1:19" x14ac:dyDescent="0.25">
      <c r="A42">
        <v>0.02</v>
      </c>
      <c r="B42" s="51">
        <v>0.91870178960009807</v>
      </c>
      <c r="C42" s="26">
        <v>-216.51550785180075</v>
      </c>
      <c r="D42" s="10">
        <v>0.95228384807560096</v>
      </c>
      <c r="E42" s="26">
        <v>380.8197823817589</v>
      </c>
      <c r="F42" s="51">
        <v>0.96990955792460221</v>
      </c>
      <c r="G42" s="26">
        <v>990.52644735192393</v>
      </c>
    </row>
    <row r="43" spans="1:19" x14ac:dyDescent="0.25">
      <c r="A43">
        <v>0.04</v>
      </c>
      <c r="B43" s="51">
        <v>0.89228134919704172</v>
      </c>
      <c r="C43" s="26">
        <v>-186.55995791316255</v>
      </c>
      <c r="D43" s="10">
        <v>0.93363962373798315</v>
      </c>
      <c r="E43" s="26">
        <v>401.76906219334603</v>
      </c>
      <c r="F43" s="51">
        <v>0.95549283492186443</v>
      </c>
      <c r="G43" s="26">
        <v>1006.1005884290578</v>
      </c>
    </row>
    <row r="44" spans="1:19" x14ac:dyDescent="0.25">
      <c r="A44">
        <v>6.0000000000000012E-2</v>
      </c>
      <c r="B44" s="51">
        <v>0.86671224391269808</v>
      </c>
      <c r="C44" s="26">
        <v>-152.84035132178644</v>
      </c>
      <c r="D44" s="10">
        <v>0.91541810471714802</v>
      </c>
      <c r="E44" s="26">
        <v>425.62200032699548</v>
      </c>
      <c r="F44" s="51">
        <v>0.94132994750923316</v>
      </c>
      <c r="G44" s="26">
        <v>1024.0729258499287</v>
      </c>
    </row>
    <row r="45" spans="1:19" x14ac:dyDescent="0.25">
      <c r="A45">
        <v>0.08</v>
      </c>
      <c r="B45" s="51">
        <v>0.84197057879405734</v>
      </c>
      <c r="C45" s="26">
        <v>-115.30018861685505</v>
      </c>
      <c r="D45" s="10">
        <v>0.89761046440545023</v>
      </c>
      <c r="E45" s="26">
        <v>452.39587352293893</v>
      </c>
      <c r="F45" s="51">
        <v>0.92741647748080513</v>
      </c>
      <c r="G45" s="26">
        <v>1044.4446789857493</v>
      </c>
    </row>
    <row r="46" spans="1:19" x14ac:dyDescent="0.25">
      <c r="A46">
        <v>0.1</v>
      </c>
      <c r="B46" s="51">
        <v>0.81802943366889869</v>
      </c>
      <c r="C46" s="26">
        <v>-73.936687936515312</v>
      </c>
      <c r="D46" s="10">
        <v>0.88020715829979479</v>
      </c>
      <c r="E46" s="26">
        <v>482.08831649412605</v>
      </c>
      <c r="F46" s="51">
        <v>0.91374779020361119</v>
      </c>
      <c r="G46" s="26">
        <v>1067.2084296686771</v>
      </c>
    </row>
    <row r="47" spans="1:19" x14ac:dyDescent="0.25">
      <c r="A47">
        <v>0.12</v>
      </c>
      <c r="B47" s="51">
        <v>0.79486028508911477</v>
      </c>
      <c r="C47" s="26">
        <v>-28.785460182293008</v>
      </c>
      <c r="D47" s="10">
        <v>0.8631981891233893</v>
      </c>
      <c r="E47" s="26">
        <v>514.68171770362505</v>
      </c>
      <c r="F47" s="51">
        <v>0.90031910522368452</v>
      </c>
      <c r="G47" s="26">
        <v>1092.3497473567156</v>
      </c>
    </row>
    <row r="48" spans="1:19" x14ac:dyDescent="0.25">
      <c r="A48">
        <v>0.13999999999999999</v>
      </c>
      <c r="B48" s="51">
        <v>0.77243396003316322</v>
      </c>
      <c r="C48" s="26">
        <v>20.090755505017711</v>
      </c>
      <c r="D48" s="10">
        <v>0.8465733041240866</v>
      </c>
      <c r="E48" s="26">
        <v>550.14669261837798</v>
      </c>
      <c r="F48" s="51">
        <v>0.88712555194969001</v>
      </c>
      <c r="G48" s="26">
        <v>1119.8485286497689</v>
      </c>
    </row>
    <row r="49" spans="1:7" x14ac:dyDescent="0.25">
      <c r="A49">
        <v>0.15999999999999998</v>
      </c>
      <c r="B49" s="51">
        <v>0.75072127607878458</v>
      </c>
      <c r="C49" s="26">
        <v>72.610386319847464</v>
      </c>
      <c r="D49" s="10">
        <v>0.83032214220462697</v>
      </c>
      <c r="E49" s="26">
        <v>588.44483446764502</v>
      </c>
      <c r="F49" s="51">
        <v>0.87416221363038127</v>
      </c>
      <c r="G49" s="26">
        <v>1149.6801036679738</v>
      </c>
    </row>
    <row r="50" spans="1:7" x14ac:dyDescent="0.25">
      <c r="A50">
        <v>0.18</v>
      </c>
      <c r="B50" s="51">
        <v>0.72969346865985152</v>
      </c>
      <c r="C50" s="26">
        <v>128.6791445190031</v>
      </c>
      <c r="D50" s="10">
        <v>0.81443434361313338</v>
      </c>
      <c r="E50" s="26">
        <v>629.53089763741582</v>
      </c>
      <c r="F50" s="51">
        <v>0.86142416209418649</v>
      </c>
      <c r="G50" s="26">
        <v>1181.8161516365788</v>
      </c>
    </row>
    <row r="51" spans="1:7" x14ac:dyDescent="0.25">
      <c r="A51">
        <v>0.19999999999999998</v>
      </c>
      <c r="B51" s="51">
        <v>0.70932247209143429</v>
      </c>
      <c r="C51" s="26">
        <v>188.19454656149469</v>
      </c>
      <c r="D51" s="10">
        <v>0.79889963147679932</v>
      </c>
      <c r="E51" s="26">
        <v>673.35453408430146</v>
      </c>
      <c r="F51" s="51">
        <v>0.84890648515985645</v>
      </c>
      <c r="G51" s="26">
        <v>1216.2254598890772</v>
      </c>
    </row>
    <row r="52" spans="1:7" x14ac:dyDescent="0.25">
      <c r="A52">
        <v>0.21999999999999997</v>
      </c>
      <c r="B52" s="51">
        <v>0.68958109929625544</v>
      </c>
      <c r="C52" s="26">
        <v>251.04925123850063</v>
      </c>
      <c r="D52" s="10">
        <v>0.78370787202022218</v>
      </c>
      <c r="E52" s="26">
        <v>719.86167638180007</v>
      </c>
      <c r="F52" s="51">
        <v>0.83660430820507681</v>
      </c>
      <c r="G52" s="26">
        <v>1252.8745539969339</v>
      </c>
    </row>
    <row r="53" spans="1:7" x14ac:dyDescent="0.25">
      <c r="A53">
        <v>0.24</v>
      </c>
      <c r="B53" s="51">
        <v>0.67044315094792561</v>
      </c>
      <c r="C53" s="26">
        <v>317.19153225527538</v>
      </c>
      <c r="D53" s="10">
        <v>0.76884911855864746</v>
      </c>
      <c r="E53" s="26">
        <v>768.99564041184476</v>
      </c>
      <c r="F53" s="51">
        <v>0.82451281105891472</v>
      </c>
      <c r="G53" s="26">
        <v>1291.7282215285379</v>
      </c>
    </row>
    <row r="54" spans="1:7" x14ac:dyDescent="0.25">
      <c r="A54">
        <v>0.26</v>
      </c>
      <c r="B54" s="51">
        <v>0.65188347528963575</v>
      </c>
      <c r="C54" s="26">
        <v>386.33703606262782</v>
      </c>
      <c r="D54" s="10">
        <v>0.75431364308618076</v>
      </c>
      <c r="E54" s="26">
        <v>820.69800484884411</v>
      </c>
      <c r="F54" s="51">
        <v>0.81262724113784091</v>
      </c>
      <c r="G54" s="26">
        <v>1332.7499477664162</v>
      </c>
    </row>
    <row r="55" spans="1:7" x14ac:dyDescent="0.25">
      <c r="A55">
        <v>0.28000000000000003</v>
      </c>
      <c r="B55" s="51">
        <v>0.63387799349844531</v>
      </c>
      <c r="C55" s="26">
        <v>458.5502073169024</v>
      </c>
      <c r="D55" s="10">
        <v>0.74009195834818087</v>
      </c>
      <c r="E55" s="26">
        <v>874.90931233692538</v>
      </c>
      <c r="F55" s="51">
        <v>0.80094292355503194</v>
      </c>
      <c r="G55" s="26">
        <v>1375.9022783575442</v>
      </c>
    </row>
    <row r="56" spans="1:7" x14ac:dyDescent="0.25">
      <c r="A56">
        <v>0.30000000000000004</v>
      </c>
      <c r="B56" s="51">
        <v>0.61640370108914333</v>
      </c>
      <c r="C56" s="26">
        <v>533.66514063199554</v>
      </c>
      <c r="D56" s="10">
        <v>0.72617483259836402</v>
      </c>
      <c r="E56" s="26">
        <v>931.56962777912508</v>
      </c>
      <c r="F56" s="51">
        <v>0.7894552687849008</v>
      </c>
      <c r="G56" s="26">
        <v>1421.1471211692105</v>
      </c>
    </row>
    <row r="57" spans="1:7" x14ac:dyDescent="0.25">
      <c r="A57">
        <v>0.32000000000000006</v>
      </c>
      <c r="B57" s="51">
        <v>0.59943865281660402</v>
      </c>
      <c r="C57" s="26">
        <v>611.57631242828802</v>
      </c>
      <c r="D57" s="10">
        <v>0.71255329872717832</v>
      </c>
      <c r="E57" s="26">
        <v>990.61898178947615</v>
      </c>
      <c r="F57" s="51">
        <v>0.77815977834921746</v>
      </c>
      <c r="G57" s="26">
        <v>1468.4459974391671</v>
      </c>
    </row>
    <row r="58" spans="1:7" x14ac:dyDescent="0.25">
      <c r="A58">
        <v>0.34000000000000008</v>
      </c>
      <c r="B58" s="51">
        <v>0.58296193640731175</v>
      </c>
      <c r="C58" s="26">
        <v>692.18104286403423</v>
      </c>
      <c r="D58" s="10">
        <v>0.69921865906127534</v>
      </c>
      <c r="E58" s="26">
        <v>1051.9977216115035</v>
      </c>
      <c r="F58" s="51">
        <v>0.76705204890020251</v>
      </c>
      <c r="G58" s="26">
        <v>1517.760250538942</v>
      </c>
    </row>
    <row r="59" spans="1:7" x14ac:dyDescent="0.25">
      <c r="A59">
        <v>0.3600000000000001</v>
      </c>
      <c r="B59" s="51">
        <v>0.56695363894377215</v>
      </c>
      <c r="C59" s="26">
        <v>775.37981151918893</v>
      </c>
      <c r="D59" s="10">
        <v>0.68616248684077497</v>
      </c>
      <c r="E59" s="26">
        <v>1115.6467873048282</v>
      </c>
      <c r="F59" s="51">
        <v>0.75612777500396544</v>
      </c>
      <c r="G59" s="26">
        <v>1569.0512192303522</v>
      </c>
    </row>
    <row r="60" spans="1:7" x14ac:dyDescent="0.25">
      <c r="A60">
        <v>0.38000000000000012</v>
      </c>
      <c r="B60" s="51">
        <v>0.55139480864937118</v>
      </c>
      <c r="C60" s="26">
        <v>861.0764550230956</v>
      </c>
      <c r="D60" s="10">
        <v>0.67337662515727703</v>
      </c>
      <c r="E60" s="26">
        <v>1181.5079274610328</v>
      </c>
      <c r="F60" s="51">
        <v>0.74538275087037809</v>
      </c>
      <c r="G60" s="26">
        <v>1622.2803811217323</v>
      </c>
    </row>
    <row r="61" spans="1:7" x14ac:dyDescent="0.25">
      <c r="A61">
        <v>0.40000000000000008</v>
      </c>
      <c r="B61" s="51">
        <v>0.53626741404703815</v>
      </c>
      <c r="C61" s="26">
        <v>949.17827588300918</v>
      </c>
      <c r="D61" s="10">
        <v>0.66085318396371862</v>
      </c>
      <c r="E61" s="26">
        <v>1249.5238659136287</v>
      </c>
      <c r="F61" s="51">
        <v>0.73481287122966366</v>
      </c>
      <c r="G61" s="26">
        <v>1677.40947107029</v>
      </c>
    </row>
    <row r="62" spans="1:7" x14ac:dyDescent="0.25">
      <c r="A62">
        <v>0.4200000000000001</v>
      </c>
      <c r="B62" s="51">
        <v>0.52155430190465624</v>
      </c>
      <c r="C62" s="26">
        <v>1039.5960847855824</v>
      </c>
      <c r="D62" s="10">
        <v>0.64858453563442364</v>
      </c>
      <c r="E62" s="26">
        <v>1319.6384286897082</v>
      </c>
      <c r="F62" s="51">
        <v>0.72441413151918976</v>
      </c>
      <c r="G62" s="26">
        <v>1734.4005784892063</v>
      </c>
    </row>
    <row r="63" spans="1:7" x14ac:dyDescent="0.25">
      <c r="A63">
        <v>0.44000000000000011</v>
      </c>
      <c r="B63" s="51">
        <v>0.50723915497240546</v>
      </c>
      <c r="C63" s="26">
        <v>1132.2441933751988</v>
      </c>
      <c r="D63" s="10">
        <v>0.63656330945057804</v>
      </c>
      <c r="E63" s="26">
        <v>1391.7966386855444</v>
      </c>
      <c r="F63" s="51">
        <v>0.71418262751427386</v>
      </c>
      <c r="G63" s="26">
        <v>1793.2162268694517</v>
      </c>
    </row>
    <row r="64" spans="1:7" x14ac:dyDescent="0.25">
      <c r="A64">
        <v>0.46000000000000013</v>
      </c>
      <c r="B64" s="51">
        <v>0.49330645021940728</v>
      </c>
      <c r="C64" s="26">
        <v>1227.040370519994</v>
      </c>
      <c r="D64" s="10">
        <v>0.62478238530589647</v>
      </c>
      <c r="E64" s="26">
        <v>1465.9447841375893</v>
      </c>
      <c r="F64" s="51">
        <v>0.70411455451276983</v>
      </c>
      <c r="G64" s="26">
        <v>1853.8194382908209</v>
      </c>
    </row>
    <row r="65" spans="1:7" x14ac:dyDescent="0.25">
      <c r="A65">
        <v>0.48000000000000015</v>
      </c>
      <c r="B65" s="51">
        <v>0.47974141805893139</v>
      </c>
      <c r="C65" s="26">
        <v>1323.9057720360508</v>
      </c>
      <c r="D65" s="10">
        <v>0.61323488686418293</v>
      </c>
      <c r="E65" s="26">
        <v>1542.0304658286291</v>
      </c>
      <c r="F65" s="51">
        <v>0.69420620616365225</v>
      </c>
      <c r="G65" s="26">
        <v>1916.1737852532426</v>
      </c>
    </row>
    <row r="66" spans="1:7" x14ac:dyDescent="0.25">
      <c r="A66">
        <v>0.50000000000000022</v>
      </c>
      <c r="B66" s="51">
        <v>0.46951961199422149</v>
      </c>
      <c r="C66" s="26">
        <v>1422.8536959375579</v>
      </c>
      <c r="D66" s="10">
        <v>0.60191417435085548</v>
      </c>
      <c r="E66" s="26">
        <v>1620.0026270577528</v>
      </c>
      <c r="F66" s="51">
        <v>0.68445397301387179</v>
      </c>
      <c r="G66" s="26">
        <v>1980.2434317912603</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WPF Model</vt:lpstr>
      <vt:lpstr>IrrReq</vt:lpstr>
      <vt:lpstr>EconModel</vt:lpstr>
      <vt:lpstr>EconModel II</vt:lpstr>
      <vt:lpstr>PriceSens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Trout, Thomas</cp:lastModifiedBy>
  <dcterms:created xsi:type="dcterms:W3CDTF">2017-08-28T21:14:12Z</dcterms:created>
  <dcterms:modified xsi:type="dcterms:W3CDTF">2019-09-10T20:18:44Z</dcterms:modified>
</cp:coreProperties>
</file>