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10.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Thomas.Trout\Documents\Draft Papers\NatIrrSymp20\"/>
    </mc:Choice>
  </mc:AlternateContent>
  <xr:revisionPtr revIDLastSave="0" documentId="13_ncr:1_{64F1BBF3-31C5-4DA2-BEE4-AA6F35A82B1E}" xr6:coauthVersionLast="44" xr6:coauthVersionMax="44" xr10:uidLastSave="{00000000-0000-0000-0000-000000000000}"/>
  <bookViews>
    <workbookView xWindow="75" yWindow="90" windowWidth="19530" windowHeight="17190" activeTab="4" xr2:uid="{00000000-000D-0000-FFFF-FFFF00000000}"/>
  </bookViews>
  <sheets>
    <sheet name="Notes" sheetId="3" r:id="rId1"/>
    <sheet name="WPF Model" sheetId="2" r:id="rId2"/>
    <sheet name="IrrReq" sheetId="4" r:id="rId3"/>
    <sheet name="UnlWaterNI" sheetId="13" r:id="rId4"/>
    <sheet name="WatLimNI" sheetId="12"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8" i="4" l="1"/>
  <c r="A72" i="4" l="1"/>
  <c r="I21" i="12"/>
  <c r="A49" i="4"/>
  <c r="A50" i="4" s="1"/>
  <c r="A51" i="4" s="1"/>
  <c r="J75" i="4" l="1"/>
  <c r="D71" i="4" l="1"/>
  <c r="E71" i="4" s="1"/>
  <c r="B71" i="4"/>
  <c r="B72" i="4"/>
  <c r="D72" i="4"/>
  <c r="E72" i="4" s="1"/>
  <c r="I8" i="12"/>
  <c r="K8" i="12" l="1"/>
  <c r="A15" i="13" l="1"/>
  <c r="A16" i="13" s="1"/>
  <c r="A17" i="13" s="1"/>
  <c r="S19" i="13"/>
  <c r="S18" i="13"/>
  <c r="S17" i="13"/>
  <c r="S16" i="13"/>
  <c r="U16" i="13" s="1"/>
  <c r="S15" i="13"/>
  <c r="S14" i="13"/>
  <c r="S13" i="13"/>
  <c r="U13" i="13" s="1"/>
  <c r="S12" i="13"/>
  <c r="S11" i="13"/>
  <c r="S10" i="13"/>
  <c r="U10" i="13" s="1"/>
  <c r="S9" i="13"/>
  <c r="S8" i="13"/>
  <c r="E8" i="13"/>
  <c r="F8" i="13"/>
  <c r="D8" i="13"/>
  <c r="C8" i="13"/>
  <c r="B8" i="13"/>
  <c r="S7" i="13"/>
  <c r="U7" i="13" s="1"/>
  <c r="S6" i="13"/>
  <c r="S5" i="13"/>
  <c r="A26" i="12"/>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U12" i="13" l="1"/>
  <c r="U11" i="13" s="1"/>
  <c r="U15" i="13"/>
  <c r="U14" i="13" s="1"/>
  <c r="U6" i="13"/>
  <c r="A18" i="13"/>
  <c r="U9" i="13"/>
  <c r="U8" i="13" s="1"/>
  <c r="U5" i="13"/>
  <c r="D76" i="4"/>
  <c r="A77" i="12"/>
  <c r="D77" i="4" l="1"/>
  <c r="J76" i="4"/>
  <c r="C14" i="13"/>
  <c r="D14" i="13" s="1"/>
  <c r="G14" i="13" s="1"/>
  <c r="C15" i="13"/>
  <c r="D15" i="13" s="1"/>
  <c r="G15" i="13" s="1"/>
  <c r="C17" i="13"/>
  <c r="D17" i="13" s="1"/>
  <c r="G17" i="13" s="1"/>
  <c r="C16" i="13"/>
  <c r="D16" i="13" s="1"/>
  <c r="G16" i="13" s="1"/>
  <c r="B16" i="13"/>
  <c r="F16" i="13" s="1"/>
  <c r="B18" i="13"/>
  <c r="F18" i="13" s="1"/>
  <c r="B17" i="13"/>
  <c r="F17" i="13" s="1"/>
  <c r="B14" i="13"/>
  <c r="F14" i="13" s="1"/>
  <c r="B15" i="13"/>
  <c r="F15" i="13" s="1"/>
  <c r="A19" i="13"/>
  <c r="B19" i="13" s="1"/>
  <c r="F19" i="13" s="1"/>
  <c r="C18" i="13"/>
  <c r="D18" i="13" s="1"/>
  <c r="G18" i="13" s="1"/>
  <c r="A78" i="12"/>
  <c r="C11" i="12"/>
  <c r="D78" i="4" l="1"/>
  <c r="J77" i="4"/>
  <c r="H16" i="13"/>
  <c r="H15" i="13"/>
  <c r="H18" i="13"/>
  <c r="H14" i="13"/>
  <c r="H17" i="13"/>
  <c r="E15" i="13"/>
  <c r="E16" i="13"/>
  <c r="E18" i="13"/>
  <c r="E19" i="13"/>
  <c r="A20" i="13"/>
  <c r="C19" i="13"/>
  <c r="D19" i="13" s="1"/>
  <c r="G19" i="13" s="1"/>
  <c r="H19" i="13" s="1"/>
  <c r="E14" i="13"/>
  <c r="E17" i="13"/>
  <c r="A79" i="12"/>
  <c r="C8" i="12"/>
  <c r="J8" i="12"/>
  <c r="S19" i="12"/>
  <c r="S18" i="12"/>
  <c r="S17" i="12"/>
  <c r="S16" i="12"/>
  <c r="U16" i="12" s="1"/>
  <c r="S15" i="12"/>
  <c r="S14" i="12"/>
  <c r="S13" i="12"/>
  <c r="U13" i="12" s="1"/>
  <c r="S12" i="12"/>
  <c r="S11" i="12"/>
  <c r="S10" i="12"/>
  <c r="U10" i="12" s="1"/>
  <c r="S9" i="12"/>
  <c r="S8" i="12"/>
  <c r="S7" i="12"/>
  <c r="U7" i="12" s="1"/>
  <c r="S6" i="12"/>
  <c r="S5" i="12"/>
  <c r="G8" i="12"/>
  <c r="H8" i="12"/>
  <c r="F8" i="12"/>
  <c r="E8" i="12"/>
  <c r="B8" i="12"/>
  <c r="D79" i="4" l="1"/>
  <c r="J78" i="4"/>
  <c r="I19" i="13"/>
  <c r="I16" i="13"/>
  <c r="I18" i="13"/>
  <c r="I15" i="13"/>
  <c r="I17" i="13"/>
  <c r="A21" i="13"/>
  <c r="C20" i="13"/>
  <c r="D20" i="13" s="1"/>
  <c r="G20" i="13" s="1"/>
  <c r="B20" i="13"/>
  <c r="F20" i="13" s="1"/>
  <c r="U15" i="12"/>
  <c r="U14" i="12" s="1"/>
  <c r="A80" i="12"/>
  <c r="U6" i="12"/>
  <c r="U5" i="12"/>
  <c r="U12" i="12"/>
  <c r="U11" i="12" s="1"/>
  <c r="C13" i="12" s="1"/>
  <c r="D6" i="12"/>
  <c r="D8" i="12" s="1"/>
  <c r="U9" i="12"/>
  <c r="U8" i="12" s="1"/>
  <c r="C12" i="12" s="1"/>
  <c r="D80" i="4" l="1"/>
  <c r="J79" i="4"/>
  <c r="H20" i="13"/>
  <c r="E20" i="13"/>
  <c r="A22" i="13"/>
  <c r="C21" i="13"/>
  <c r="D21" i="13" s="1"/>
  <c r="G21" i="13" s="1"/>
  <c r="B21" i="13"/>
  <c r="F21" i="13" s="1"/>
  <c r="C76" i="12"/>
  <c r="D76" i="12" s="1"/>
  <c r="C78" i="12"/>
  <c r="D78" i="12" s="1"/>
  <c r="C77" i="12"/>
  <c r="D77" i="12" s="1"/>
  <c r="C79" i="12"/>
  <c r="D79" i="12" s="1"/>
  <c r="C64" i="12"/>
  <c r="D64" i="12" s="1"/>
  <c r="C61" i="12"/>
  <c r="D61" i="12" s="1"/>
  <c r="B79" i="12"/>
  <c r="B63" i="12"/>
  <c r="B76" i="12"/>
  <c r="B61" i="12"/>
  <c r="B77" i="12"/>
  <c r="B78" i="12"/>
  <c r="B62" i="12"/>
  <c r="B80" i="12"/>
  <c r="C80" i="12"/>
  <c r="D80" i="12" s="1"/>
  <c r="A81" i="12"/>
  <c r="B64" i="12"/>
  <c r="C65" i="12"/>
  <c r="D65" i="12" s="1"/>
  <c r="C63" i="12"/>
  <c r="D63" i="12" s="1"/>
  <c r="C62" i="12"/>
  <c r="D62" i="12" s="1"/>
  <c r="C14" i="12"/>
  <c r="D11" i="12"/>
  <c r="B27" i="12"/>
  <c r="B26" i="12"/>
  <c r="B25" i="12"/>
  <c r="B28" i="12"/>
  <c r="B29" i="12"/>
  <c r="C25" i="12"/>
  <c r="D25" i="12" s="1"/>
  <c r="C27" i="12"/>
  <c r="D27" i="12" s="1"/>
  <c r="C29" i="12"/>
  <c r="D29" i="12" s="1"/>
  <c r="C30" i="12"/>
  <c r="D30" i="12" s="1"/>
  <c r="C28" i="12"/>
  <c r="D28" i="12" s="1"/>
  <c r="C26" i="12"/>
  <c r="D26" i="12" s="1"/>
  <c r="B30" i="12"/>
  <c r="D81" i="4" l="1"/>
  <c r="J80" i="4"/>
  <c r="J62" i="12"/>
  <c r="K62" i="12" s="1"/>
  <c r="G62" i="12"/>
  <c r="J63" i="12"/>
  <c r="K63" i="12" s="1"/>
  <c r="G63" i="12"/>
  <c r="F77" i="12"/>
  <c r="E77" i="12"/>
  <c r="E30" i="12"/>
  <c r="F30" i="12"/>
  <c r="J65" i="12"/>
  <c r="K65" i="12" s="1"/>
  <c r="G65" i="12"/>
  <c r="E61" i="12"/>
  <c r="F61" i="12"/>
  <c r="J78" i="12"/>
  <c r="K78" i="12" s="1"/>
  <c r="G78" i="12"/>
  <c r="J26" i="12"/>
  <c r="K26" i="12" s="1"/>
  <c r="G26" i="12"/>
  <c r="E25" i="12"/>
  <c r="F25" i="12"/>
  <c r="F64" i="12"/>
  <c r="E64" i="12"/>
  <c r="E76" i="12"/>
  <c r="F76" i="12"/>
  <c r="J76" i="12"/>
  <c r="K76" i="12" s="1"/>
  <c r="G76" i="12"/>
  <c r="F29" i="12"/>
  <c r="E29" i="12"/>
  <c r="J79" i="12"/>
  <c r="K79" i="12" s="1"/>
  <c r="G79" i="12"/>
  <c r="J28" i="12"/>
  <c r="K28" i="12" s="1"/>
  <c r="G28" i="12"/>
  <c r="F63" i="12"/>
  <c r="E63" i="12"/>
  <c r="G80" i="12"/>
  <c r="J80" i="12"/>
  <c r="K80" i="12" s="1"/>
  <c r="F79" i="12"/>
  <c r="E79" i="12"/>
  <c r="F80" i="12"/>
  <c r="E80" i="12"/>
  <c r="J61" i="12"/>
  <c r="K61" i="12" s="1"/>
  <c r="G61" i="12"/>
  <c r="J25" i="12"/>
  <c r="K25" i="12" s="1"/>
  <c r="G25" i="12"/>
  <c r="F78" i="12"/>
  <c r="E78" i="12"/>
  <c r="J77" i="12"/>
  <c r="K77" i="12" s="1"/>
  <c r="G77" i="12"/>
  <c r="E28" i="12"/>
  <c r="F28" i="12"/>
  <c r="F26" i="12"/>
  <c r="E26" i="12"/>
  <c r="J30" i="12"/>
  <c r="K30" i="12" s="1"/>
  <c r="G30" i="12"/>
  <c r="E27" i="12"/>
  <c r="F27" i="12"/>
  <c r="J29" i="12"/>
  <c r="K29" i="12" s="1"/>
  <c r="G29" i="12"/>
  <c r="J27" i="12"/>
  <c r="K27" i="12" s="1"/>
  <c r="G27" i="12"/>
  <c r="E62" i="12"/>
  <c r="F62" i="12"/>
  <c r="J64" i="12"/>
  <c r="K64" i="12" s="1"/>
  <c r="G64" i="12"/>
  <c r="H21" i="13"/>
  <c r="I20" i="13"/>
  <c r="A23" i="13"/>
  <c r="C22" i="13"/>
  <c r="D22" i="13" s="1"/>
  <c r="G22" i="13" s="1"/>
  <c r="B22" i="13"/>
  <c r="F22" i="13" s="1"/>
  <c r="E21" i="13"/>
  <c r="B81" i="12"/>
  <c r="A82" i="12"/>
  <c r="C81" i="12"/>
  <c r="D81" i="12" s="1"/>
  <c r="B65" i="12"/>
  <c r="D13" i="12"/>
  <c r="E11" i="12"/>
  <c r="D12" i="12"/>
  <c r="C31" i="12"/>
  <c r="D31" i="12" s="1"/>
  <c r="B31" i="12"/>
  <c r="D82" i="4" l="1"/>
  <c r="J81" i="4"/>
  <c r="H27" i="12"/>
  <c r="L27" i="12" s="1"/>
  <c r="H77" i="12"/>
  <c r="L77" i="12" s="1"/>
  <c r="H61" i="12"/>
  <c r="L61" i="12" s="1"/>
  <c r="H29" i="12"/>
  <c r="L29" i="12" s="1"/>
  <c r="H26" i="12"/>
  <c r="L26" i="12" s="1"/>
  <c r="H78" i="12"/>
  <c r="L78" i="12" s="1"/>
  <c r="H80" i="12"/>
  <c r="L80" i="12" s="1"/>
  <c r="H63" i="12"/>
  <c r="L63" i="12" s="1"/>
  <c r="E65" i="12"/>
  <c r="F65" i="12"/>
  <c r="H62" i="12"/>
  <c r="L62" i="12" s="1"/>
  <c r="H76" i="12"/>
  <c r="L76" i="12" s="1"/>
  <c r="E31" i="12"/>
  <c r="F31" i="12"/>
  <c r="J81" i="12"/>
  <c r="K81" i="12" s="1"/>
  <c r="G81" i="12"/>
  <c r="H79" i="12"/>
  <c r="L79" i="12" s="1"/>
  <c r="H64" i="12"/>
  <c r="L64" i="12" s="1"/>
  <c r="H28" i="12"/>
  <c r="L28" i="12" s="1"/>
  <c r="F81" i="12"/>
  <c r="E81" i="12"/>
  <c r="G31" i="12"/>
  <c r="J31" i="12"/>
  <c r="K31" i="12" s="1"/>
  <c r="H25" i="12"/>
  <c r="L25" i="12" s="1"/>
  <c r="H30" i="12"/>
  <c r="L30" i="12" s="1"/>
  <c r="H22" i="13"/>
  <c r="I21" i="13"/>
  <c r="C23" i="13"/>
  <c r="D23" i="13" s="1"/>
  <c r="G23" i="13" s="1"/>
  <c r="A24" i="13"/>
  <c r="B23" i="13"/>
  <c r="F23" i="13" s="1"/>
  <c r="E22" i="13"/>
  <c r="A83" i="12"/>
  <c r="C82" i="12"/>
  <c r="D82" i="12" s="1"/>
  <c r="B82" i="12"/>
  <c r="B66" i="12"/>
  <c r="C66" i="12"/>
  <c r="D66" i="12" s="1"/>
  <c r="D14" i="12"/>
  <c r="E13" i="12"/>
  <c r="E12" i="12"/>
  <c r="C32" i="12"/>
  <c r="D32" i="12" s="1"/>
  <c r="B32" i="12"/>
  <c r="D83" i="4" l="1"/>
  <c r="J82" i="4"/>
  <c r="F66" i="12"/>
  <c r="E66" i="12"/>
  <c r="E82" i="12"/>
  <c r="F82" i="12"/>
  <c r="H65" i="12"/>
  <c r="L65" i="12" s="1"/>
  <c r="G66" i="12"/>
  <c r="J66" i="12"/>
  <c r="K66" i="12" s="1"/>
  <c r="F32" i="12"/>
  <c r="E32" i="12"/>
  <c r="H81" i="12"/>
  <c r="L81" i="12" s="1"/>
  <c r="G82" i="12"/>
  <c r="J82" i="12"/>
  <c r="K82" i="12" s="1"/>
  <c r="J32" i="12"/>
  <c r="K32" i="12" s="1"/>
  <c r="G32" i="12"/>
  <c r="H31" i="12"/>
  <c r="L31" i="12" s="1"/>
  <c r="H23" i="13"/>
  <c r="I22" i="13"/>
  <c r="A25" i="13"/>
  <c r="C24" i="13"/>
  <c r="D24" i="13" s="1"/>
  <c r="G24" i="13" s="1"/>
  <c r="B24" i="13"/>
  <c r="F24" i="13" s="1"/>
  <c r="E23" i="13"/>
  <c r="A84" i="12"/>
  <c r="C83" i="12"/>
  <c r="D83" i="12" s="1"/>
  <c r="B83" i="12"/>
  <c r="C67" i="12"/>
  <c r="D67" i="12" s="1"/>
  <c r="B67" i="12"/>
  <c r="E14" i="12"/>
  <c r="F11" i="12"/>
  <c r="C33" i="12"/>
  <c r="D33" i="12" s="1"/>
  <c r="B33" i="12"/>
  <c r="D84" i="4" l="1"/>
  <c r="J83" i="4"/>
  <c r="F33" i="12"/>
  <c r="E33" i="12"/>
  <c r="H66" i="12"/>
  <c r="L66" i="12" s="1"/>
  <c r="F67" i="12"/>
  <c r="E67" i="12"/>
  <c r="G67" i="12"/>
  <c r="J67" i="12"/>
  <c r="K67" i="12" s="1"/>
  <c r="F83" i="12"/>
  <c r="E83" i="12"/>
  <c r="H32" i="12"/>
  <c r="L32" i="12" s="1"/>
  <c r="J83" i="12"/>
  <c r="K83" i="12" s="1"/>
  <c r="G83" i="12"/>
  <c r="H82" i="12"/>
  <c r="L82" i="12" s="1"/>
  <c r="J33" i="12"/>
  <c r="K33" i="12" s="1"/>
  <c r="G33" i="12"/>
  <c r="H24" i="13"/>
  <c r="I23" i="13"/>
  <c r="E24" i="13"/>
  <c r="C25" i="13"/>
  <c r="D25" i="13" s="1"/>
  <c r="G25" i="13" s="1"/>
  <c r="A26" i="13"/>
  <c r="B25" i="13"/>
  <c r="F25" i="13" s="1"/>
  <c r="B84" i="12"/>
  <c r="A85" i="12"/>
  <c r="C84" i="12"/>
  <c r="D84" i="12" s="1"/>
  <c r="B68" i="12"/>
  <c r="C68" i="12"/>
  <c r="D68" i="12" s="1"/>
  <c r="F13" i="12"/>
  <c r="F12" i="12"/>
  <c r="G11" i="12"/>
  <c r="C34" i="12"/>
  <c r="D34" i="12" s="1"/>
  <c r="B34" i="12"/>
  <c r="D85" i="4" l="1"/>
  <c r="J84" i="4"/>
  <c r="E84" i="12"/>
  <c r="F84" i="12"/>
  <c r="H33" i="12"/>
  <c r="L33" i="12" s="1"/>
  <c r="J68" i="12"/>
  <c r="K68" i="12" s="1"/>
  <c r="G68" i="12"/>
  <c r="E68" i="12"/>
  <c r="F68" i="12"/>
  <c r="G84" i="12"/>
  <c r="J84" i="12"/>
  <c r="K84" i="12" s="1"/>
  <c r="H83" i="12"/>
  <c r="L83" i="12" s="1"/>
  <c r="H67" i="12"/>
  <c r="L67" i="12" s="1"/>
  <c r="E34" i="12"/>
  <c r="F34" i="12"/>
  <c r="J34" i="12"/>
  <c r="K34" i="12" s="1"/>
  <c r="G34" i="12"/>
  <c r="H25" i="13"/>
  <c r="I24" i="13"/>
  <c r="E25" i="13"/>
  <c r="A27" i="13"/>
  <c r="C26" i="13"/>
  <c r="D26" i="13" s="1"/>
  <c r="G26" i="13" s="1"/>
  <c r="B26" i="13"/>
  <c r="F26" i="13" s="1"/>
  <c r="B85" i="12"/>
  <c r="A86" i="12"/>
  <c r="C85" i="12"/>
  <c r="D85" i="12" s="1"/>
  <c r="C69" i="12"/>
  <c r="D69" i="12" s="1"/>
  <c r="B69" i="12"/>
  <c r="F14" i="12"/>
  <c r="G13" i="12"/>
  <c r="G12" i="12"/>
  <c r="C35" i="12"/>
  <c r="D35" i="12" s="1"/>
  <c r="B35" i="12"/>
  <c r="B47" i="4"/>
  <c r="A48" i="4"/>
  <c r="J85" i="4" l="1"/>
  <c r="J35" i="12"/>
  <c r="K35" i="12" s="1"/>
  <c r="G35" i="12"/>
  <c r="F85" i="12"/>
  <c r="E85" i="12"/>
  <c r="H68" i="12"/>
  <c r="L68" i="12" s="1"/>
  <c r="H84" i="12"/>
  <c r="L84" i="12" s="1"/>
  <c r="J69" i="12"/>
  <c r="K69" i="12" s="1"/>
  <c r="G69" i="12"/>
  <c r="J85" i="12"/>
  <c r="K85" i="12" s="1"/>
  <c r="G85" i="12"/>
  <c r="E69" i="12"/>
  <c r="F69" i="12"/>
  <c r="F35" i="12"/>
  <c r="E35" i="12"/>
  <c r="H34" i="12"/>
  <c r="L34" i="12" s="1"/>
  <c r="H26" i="13"/>
  <c r="I25" i="13"/>
  <c r="C27" i="13"/>
  <c r="D27" i="13" s="1"/>
  <c r="G27" i="13" s="1"/>
  <c r="A28" i="13"/>
  <c r="B27" i="13"/>
  <c r="F27" i="13" s="1"/>
  <c r="E26" i="13"/>
  <c r="A87" i="12"/>
  <c r="C86" i="12"/>
  <c r="D86" i="12" s="1"/>
  <c r="B86" i="12"/>
  <c r="B70" i="12"/>
  <c r="C70" i="12"/>
  <c r="D70" i="12" s="1"/>
  <c r="H11" i="12"/>
  <c r="G14" i="12"/>
  <c r="C36" i="12"/>
  <c r="D36" i="12" s="1"/>
  <c r="B36" i="12"/>
  <c r="B48" i="4"/>
  <c r="B49" i="4"/>
  <c r="F36" i="12" l="1"/>
  <c r="E36" i="12"/>
  <c r="J70" i="12"/>
  <c r="K70" i="12" s="1"/>
  <c r="G70" i="12"/>
  <c r="H85" i="12"/>
  <c r="L85" i="12" s="1"/>
  <c r="F70" i="12"/>
  <c r="E70" i="12"/>
  <c r="E86" i="12"/>
  <c r="F86" i="12"/>
  <c r="H35" i="12"/>
  <c r="L35" i="12" s="1"/>
  <c r="J86" i="12"/>
  <c r="K86" i="12" s="1"/>
  <c r="G86" i="12"/>
  <c r="H69" i="12"/>
  <c r="L69" i="12" s="1"/>
  <c r="G36" i="12"/>
  <c r="J36" i="12"/>
  <c r="K36" i="12" s="1"/>
  <c r="H27" i="13"/>
  <c r="I26" i="13"/>
  <c r="A29" i="13"/>
  <c r="C28" i="13"/>
  <c r="D28" i="13" s="1"/>
  <c r="G28" i="13" s="1"/>
  <c r="B28" i="13"/>
  <c r="F28" i="13" s="1"/>
  <c r="E27" i="13"/>
  <c r="A88" i="12"/>
  <c r="C87" i="12"/>
  <c r="D87" i="12" s="1"/>
  <c r="B87" i="12"/>
  <c r="C71" i="12"/>
  <c r="D71" i="12" s="1"/>
  <c r="B71" i="12"/>
  <c r="H13" i="12"/>
  <c r="H12" i="12"/>
  <c r="C37" i="12"/>
  <c r="D37" i="12" s="1"/>
  <c r="B37" i="12"/>
  <c r="H70" i="12" l="1"/>
  <c r="L70" i="12" s="1"/>
  <c r="J37" i="12"/>
  <c r="K37" i="12" s="1"/>
  <c r="G37" i="12"/>
  <c r="F71" i="12"/>
  <c r="E71" i="12"/>
  <c r="J71" i="12"/>
  <c r="K71" i="12" s="1"/>
  <c r="G71" i="12"/>
  <c r="F87" i="12"/>
  <c r="E87" i="12"/>
  <c r="J87" i="12"/>
  <c r="K87" i="12" s="1"/>
  <c r="G87" i="12"/>
  <c r="H86" i="12"/>
  <c r="L86" i="12" s="1"/>
  <c r="E37" i="12"/>
  <c r="F37" i="12"/>
  <c r="H36" i="12"/>
  <c r="L36" i="12" s="1"/>
  <c r="H28" i="13"/>
  <c r="I27" i="13"/>
  <c r="A30" i="13"/>
  <c r="C29" i="13"/>
  <c r="D29" i="13" s="1"/>
  <c r="G29" i="13" s="1"/>
  <c r="B29" i="13"/>
  <c r="F29" i="13" s="1"/>
  <c r="E28" i="13"/>
  <c r="A89" i="12"/>
  <c r="C88" i="12"/>
  <c r="D88" i="12" s="1"/>
  <c r="B88" i="12"/>
  <c r="B72" i="12"/>
  <c r="C72" i="12"/>
  <c r="D72" i="12" s="1"/>
  <c r="H14" i="12"/>
  <c r="I11" i="12"/>
  <c r="C38" i="12"/>
  <c r="D38" i="12" s="1"/>
  <c r="B38" i="12"/>
  <c r="B50" i="4"/>
  <c r="G38" i="12" l="1"/>
  <c r="J38" i="12"/>
  <c r="K38" i="12" s="1"/>
  <c r="H71" i="12"/>
  <c r="L71" i="12" s="1"/>
  <c r="F38" i="12"/>
  <c r="E38" i="12"/>
  <c r="G72" i="12"/>
  <c r="J72" i="12"/>
  <c r="K72" i="12" s="1"/>
  <c r="H87" i="12"/>
  <c r="L87" i="12" s="1"/>
  <c r="F72" i="12"/>
  <c r="E72" i="12"/>
  <c r="H37" i="12"/>
  <c r="L37" i="12" s="1"/>
  <c r="F88" i="12"/>
  <c r="E88" i="12"/>
  <c r="G88" i="12"/>
  <c r="J88" i="12"/>
  <c r="K88" i="12" s="1"/>
  <c r="H29" i="13"/>
  <c r="I28" i="13"/>
  <c r="E29" i="13"/>
  <c r="A31" i="13"/>
  <c r="C30" i="13"/>
  <c r="D30" i="13" s="1"/>
  <c r="G30" i="13" s="1"/>
  <c r="B30" i="13"/>
  <c r="F30" i="13" s="1"/>
  <c r="B89" i="12"/>
  <c r="A90" i="12"/>
  <c r="C89" i="12"/>
  <c r="D89" i="12" s="1"/>
  <c r="B73" i="12"/>
  <c r="C73" i="12"/>
  <c r="D73" i="12" s="1"/>
  <c r="I12" i="12"/>
  <c r="I13" i="12"/>
  <c r="C39" i="12"/>
  <c r="D39" i="12" s="1"/>
  <c r="B39" i="12"/>
  <c r="A52" i="4"/>
  <c r="B51" i="4"/>
  <c r="F89" i="12" l="1"/>
  <c r="E89" i="12"/>
  <c r="H72" i="12"/>
  <c r="L72" i="12" s="1"/>
  <c r="H38" i="12"/>
  <c r="L38" i="12" s="1"/>
  <c r="E39" i="12"/>
  <c r="F39" i="12"/>
  <c r="J89" i="12"/>
  <c r="K89" i="12" s="1"/>
  <c r="G89" i="12"/>
  <c r="H88" i="12"/>
  <c r="L88" i="12" s="1"/>
  <c r="J73" i="12"/>
  <c r="K73" i="12" s="1"/>
  <c r="G73" i="12"/>
  <c r="E73" i="12"/>
  <c r="F73" i="12"/>
  <c r="J39" i="12"/>
  <c r="K39" i="12" s="1"/>
  <c r="G39" i="12"/>
  <c r="H30" i="13"/>
  <c r="I29" i="13"/>
  <c r="E30" i="13"/>
  <c r="C31" i="13"/>
  <c r="D31" i="13" s="1"/>
  <c r="G31" i="13" s="1"/>
  <c r="A32" i="13"/>
  <c r="B31" i="13"/>
  <c r="F31" i="13" s="1"/>
  <c r="A91" i="12"/>
  <c r="C90" i="12"/>
  <c r="D90" i="12" s="1"/>
  <c r="B90" i="12"/>
  <c r="B74" i="12"/>
  <c r="C74" i="12"/>
  <c r="D74" i="12" s="1"/>
  <c r="J11" i="12"/>
  <c r="J13" i="12" s="1"/>
  <c r="I14" i="12"/>
  <c r="C40" i="12"/>
  <c r="D40" i="12" s="1"/>
  <c r="B40" i="12"/>
  <c r="A53" i="4"/>
  <c r="B52" i="4"/>
  <c r="H39" i="12" l="1"/>
  <c r="L39" i="12" s="1"/>
  <c r="G74" i="12"/>
  <c r="J74" i="12"/>
  <c r="K74" i="12" s="1"/>
  <c r="E90" i="12"/>
  <c r="F90" i="12"/>
  <c r="G90" i="12"/>
  <c r="J90" i="12"/>
  <c r="K90" i="12" s="1"/>
  <c r="H73" i="12"/>
  <c r="L73" i="12" s="1"/>
  <c r="E74" i="12"/>
  <c r="F74" i="12"/>
  <c r="F40" i="12"/>
  <c r="E40" i="12"/>
  <c r="H89" i="12"/>
  <c r="L89" i="12" s="1"/>
  <c r="J40" i="12"/>
  <c r="K40" i="12" s="1"/>
  <c r="G40" i="12"/>
  <c r="H31" i="13"/>
  <c r="I30" i="13"/>
  <c r="E31" i="13"/>
  <c r="A33" i="13"/>
  <c r="C32" i="13"/>
  <c r="D32" i="13" s="1"/>
  <c r="G32" i="13" s="1"/>
  <c r="B32" i="13"/>
  <c r="F32" i="13" s="1"/>
  <c r="A92" i="12"/>
  <c r="C91" i="12"/>
  <c r="D91" i="12" s="1"/>
  <c r="B91" i="12"/>
  <c r="B75" i="12"/>
  <c r="C75" i="12"/>
  <c r="D75" i="12" s="1"/>
  <c r="J12" i="12"/>
  <c r="J14" i="12" s="1"/>
  <c r="C41" i="12"/>
  <c r="D41" i="12" s="1"/>
  <c r="B41" i="12"/>
  <c r="A54" i="4"/>
  <c r="B53" i="4"/>
  <c r="F75" i="12" l="1"/>
  <c r="E75" i="12"/>
  <c r="J75" i="12"/>
  <c r="K75" i="12" s="1"/>
  <c r="G75" i="12"/>
  <c r="H74" i="12"/>
  <c r="L74" i="12" s="1"/>
  <c r="J91" i="12"/>
  <c r="K91" i="12" s="1"/>
  <c r="G91" i="12"/>
  <c r="F41" i="12"/>
  <c r="E41" i="12"/>
  <c r="H40" i="12"/>
  <c r="L40" i="12" s="1"/>
  <c r="H90" i="12"/>
  <c r="L90" i="12" s="1"/>
  <c r="F91" i="12"/>
  <c r="E91" i="12"/>
  <c r="J41" i="12"/>
  <c r="K41" i="12" s="1"/>
  <c r="G41" i="12"/>
  <c r="H32" i="13"/>
  <c r="I31" i="13"/>
  <c r="E32" i="13"/>
  <c r="A34" i="13"/>
  <c r="C33" i="13"/>
  <c r="D33" i="13" s="1"/>
  <c r="G33" i="13" s="1"/>
  <c r="B33" i="13"/>
  <c r="F33" i="13" s="1"/>
  <c r="A93" i="12"/>
  <c r="C92" i="12"/>
  <c r="D92" i="12" s="1"/>
  <c r="B92" i="12"/>
  <c r="K11" i="12"/>
  <c r="K12" i="12" s="1"/>
  <c r="C42" i="12"/>
  <c r="D42" i="12" s="1"/>
  <c r="B42" i="12"/>
  <c r="A55" i="4"/>
  <c r="B54" i="4"/>
  <c r="H41" i="12" l="1"/>
  <c r="L41" i="12" s="1"/>
  <c r="E92" i="12"/>
  <c r="F92" i="12"/>
  <c r="J42" i="12"/>
  <c r="K42" i="12" s="1"/>
  <c r="G42" i="12"/>
  <c r="G92" i="12"/>
  <c r="J92" i="12"/>
  <c r="K92" i="12" s="1"/>
  <c r="H91" i="12"/>
  <c r="L91" i="12" s="1"/>
  <c r="H75" i="12"/>
  <c r="L75" i="12" s="1"/>
  <c r="F42" i="12"/>
  <c r="E42" i="12"/>
  <c r="H33" i="13"/>
  <c r="I32" i="13"/>
  <c r="C34" i="13"/>
  <c r="D34" i="13" s="1"/>
  <c r="G34" i="13" s="1"/>
  <c r="A35" i="13"/>
  <c r="B34" i="13"/>
  <c r="F34" i="13" s="1"/>
  <c r="E33" i="13"/>
  <c r="B93" i="12"/>
  <c r="C93" i="12"/>
  <c r="D93" i="12" s="1"/>
  <c r="A94" i="12"/>
  <c r="K13" i="12"/>
  <c r="K14" i="12" s="1"/>
  <c r="C43" i="12"/>
  <c r="D43" i="12" s="1"/>
  <c r="B43" i="12"/>
  <c r="A56" i="4"/>
  <c r="B55" i="4"/>
  <c r="E43" i="12" l="1"/>
  <c r="F43" i="12"/>
  <c r="G43" i="12"/>
  <c r="J43" i="12"/>
  <c r="K43" i="12" s="1"/>
  <c r="H92" i="12"/>
  <c r="L92" i="12" s="1"/>
  <c r="J93" i="12"/>
  <c r="K93" i="12" s="1"/>
  <c r="G93" i="12"/>
  <c r="F93" i="12"/>
  <c r="E93" i="12"/>
  <c r="H42" i="12"/>
  <c r="L42" i="12" s="1"/>
  <c r="H34" i="13"/>
  <c r="I33" i="13"/>
  <c r="E34" i="13"/>
  <c r="A36" i="13"/>
  <c r="C35" i="13"/>
  <c r="D35" i="13" s="1"/>
  <c r="G35" i="13" s="1"/>
  <c r="B35" i="13"/>
  <c r="F35" i="13" s="1"/>
  <c r="A95" i="12"/>
  <c r="C94" i="12"/>
  <c r="D94" i="12" s="1"/>
  <c r="B94" i="12"/>
  <c r="L11" i="12"/>
  <c r="L13" i="12" s="1"/>
  <c r="C44" i="12"/>
  <c r="D44" i="12" s="1"/>
  <c r="B44" i="12"/>
  <c r="A57" i="4"/>
  <c r="B56" i="4"/>
  <c r="J44" i="12" l="1"/>
  <c r="K44" i="12" s="1"/>
  <c r="G44" i="12"/>
  <c r="E44" i="12"/>
  <c r="F44" i="12"/>
  <c r="H93" i="12"/>
  <c r="L93" i="12" s="1"/>
  <c r="E94" i="12"/>
  <c r="F94" i="12"/>
  <c r="J94" i="12"/>
  <c r="K94" i="12" s="1"/>
  <c r="G94" i="12"/>
  <c r="H43" i="12"/>
  <c r="L43" i="12" s="1"/>
  <c r="H35" i="13"/>
  <c r="I34" i="13"/>
  <c r="E35" i="13"/>
  <c r="C36" i="13"/>
  <c r="D36" i="13" s="1"/>
  <c r="G36" i="13" s="1"/>
  <c r="A37" i="13"/>
  <c r="B36" i="13"/>
  <c r="F36" i="13" s="1"/>
  <c r="A96" i="12"/>
  <c r="C95" i="12"/>
  <c r="D95" i="12" s="1"/>
  <c r="B95" i="12"/>
  <c r="L12" i="12"/>
  <c r="M11" i="12" s="1"/>
  <c r="C45" i="12"/>
  <c r="D45" i="12" s="1"/>
  <c r="B45" i="12"/>
  <c r="A58" i="4"/>
  <c r="B57" i="4"/>
  <c r="B9" i="2"/>
  <c r="B10" i="2"/>
  <c r="B80" i="4" l="1"/>
  <c r="C47" i="4"/>
  <c r="C72" i="4"/>
  <c r="C71" i="4"/>
  <c r="G45" i="12"/>
  <c r="J45" i="12"/>
  <c r="K45" i="12" s="1"/>
  <c r="H44" i="12"/>
  <c r="L44" i="12" s="1"/>
  <c r="F45" i="12"/>
  <c r="E45" i="12"/>
  <c r="F95" i="12"/>
  <c r="E95" i="12"/>
  <c r="J95" i="12"/>
  <c r="K95" i="12" s="1"/>
  <c r="G95" i="12"/>
  <c r="H94" i="12"/>
  <c r="L94" i="12" s="1"/>
  <c r="H36" i="13"/>
  <c r="I35" i="13"/>
  <c r="E36" i="13"/>
  <c r="A38" i="13"/>
  <c r="C37" i="13"/>
  <c r="D37" i="13" s="1"/>
  <c r="G37" i="13" s="1"/>
  <c r="B37" i="13"/>
  <c r="F37" i="13" s="1"/>
  <c r="A97" i="12"/>
  <c r="C96" i="12"/>
  <c r="D96" i="12" s="1"/>
  <c r="B96" i="12"/>
  <c r="L14" i="12"/>
  <c r="M13" i="12"/>
  <c r="M12" i="12"/>
  <c r="C46" i="12"/>
  <c r="D46" i="12" s="1"/>
  <c r="B46" i="12"/>
  <c r="A59" i="4"/>
  <c r="C59" i="4" s="1"/>
  <c r="F58" i="4"/>
  <c r="G58" i="4" s="1"/>
  <c r="B58" i="4"/>
  <c r="C57" i="4"/>
  <c r="C50" i="4"/>
  <c r="C56" i="4"/>
  <c r="C58" i="4"/>
  <c r="C52" i="4"/>
  <c r="C54" i="4"/>
  <c r="C53" i="4"/>
  <c r="C55" i="4"/>
  <c r="C49" i="4"/>
  <c r="C51" i="4"/>
  <c r="C48" i="4"/>
  <c r="B12" i="4"/>
  <c r="B24" i="4"/>
  <c r="B36" i="4"/>
  <c r="F46" i="12" l="1"/>
  <c r="E46" i="12"/>
  <c r="H45" i="12"/>
  <c r="L45" i="12" s="1"/>
  <c r="F96" i="12"/>
  <c r="E96" i="12"/>
  <c r="J46" i="12"/>
  <c r="K46" i="12" s="1"/>
  <c r="G46" i="12"/>
  <c r="G96" i="12"/>
  <c r="J96" i="12"/>
  <c r="K96" i="12" s="1"/>
  <c r="H95" i="12"/>
  <c r="L95" i="12" s="1"/>
  <c r="H37" i="13"/>
  <c r="I36" i="13"/>
  <c r="E37" i="13"/>
  <c r="A39" i="13"/>
  <c r="C38" i="13"/>
  <c r="D38" i="13" s="1"/>
  <c r="G38" i="13" s="1"/>
  <c r="B38" i="13"/>
  <c r="F38" i="13" s="1"/>
  <c r="B97" i="12"/>
  <c r="C97" i="12"/>
  <c r="D97" i="12" s="1"/>
  <c r="A98" i="12"/>
  <c r="N11" i="12"/>
  <c r="N15" i="12" s="1"/>
  <c r="M14" i="12"/>
  <c r="C47" i="12"/>
  <c r="D47" i="12" s="1"/>
  <c r="B47" i="12"/>
  <c r="A60" i="4"/>
  <c r="F59" i="4"/>
  <c r="G59" i="4" s="1"/>
  <c r="B59" i="4"/>
  <c r="B13" i="4"/>
  <c r="D58" i="4" s="1"/>
  <c r="E58" i="4" s="1"/>
  <c r="B37" i="4"/>
  <c r="I56" i="4" s="1"/>
  <c r="B25" i="4"/>
  <c r="F71" i="4" s="1"/>
  <c r="I72" i="4" l="1"/>
  <c r="I71" i="4"/>
  <c r="G71" i="4"/>
  <c r="H71" i="4"/>
  <c r="F72" i="4"/>
  <c r="H96" i="12"/>
  <c r="L96" i="12" s="1"/>
  <c r="E47" i="12"/>
  <c r="F47" i="12"/>
  <c r="H46" i="12"/>
  <c r="L46" i="12" s="1"/>
  <c r="J47" i="12"/>
  <c r="K47" i="12" s="1"/>
  <c r="G47" i="12"/>
  <c r="J97" i="12"/>
  <c r="K97" i="12" s="1"/>
  <c r="G97" i="12"/>
  <c r="F97" i="12"/>
  <c r="E97" i="12"/>
  <c r="H38" i="13"/>
  <c r="I37" i="13"/>
  <c r="A40" i="13"/>
  <c r="C39" i="13"/>
  <c r="D39" i="13" s="1"/>
  <c r="G39" i="13" s="1"/>
  <c r="B39" i="13"/>
  <c r="F39" i="13" s="1"/>
  <c r="E38" i="13"/>
  <c r="A99" i="12"/>
  <c r="C98" i="12"/>
  <c r="D98" i="12" s="1"/>
  <c r="B98" i="12"/>
  <c r="N12" i="12"/>
  <c r="N13" i="12"/>
  <c r="C48" i="12"/>
  <c r="D48" i="12" s="1"/>
  <c r="B48" i="12"/>
  <c r="D59" i="4"/>
  <c r="E59" i="4" s="1"/>
  <c r="D56" i="4"/>
  <c r="E56" i="4" s="1"/>
  <c r="D51" i="4"/>
  <c r="E51" i="4" s="1"/>
  <c r="D48" i="4"/>
  <c r="E48" i="4" s="1"/>
  <c r="I51" i="4"/>
  <c r="D55" i="4"/>
  <c r="E55" i="4" s="1"/>
  <c r="D53" i="4"/>
  <c r="E53" i="4" s="1"/>
  <c r="F53" i="4"/>
  <c r="G53" i="4" s="1"/>
  <c r="F52" i="4"/>
  <c r="G52" i="4" s="1"/>
  <c r="I52" i="4"/>
  <c r="F54" i="4"/>
  <c r="G54" i="4" s="1"/>
  <c r="D47" i="4"/>
  <c r="F55" i="4"/>
  <c r="G55" i="4" s="1"/>
  <c r="D52" i="4"/>
  <c r="E52" i="4" s="1"/>
  <c r="F48" i="4"/>
  <c r="G48" i="4" s="1"/>
  <c r="F49" i="4"/>
  <c r="G49" i="4" s="1"/>
  <c r="F56" i="4"/>
  <c r="G56" i="4" s="1"/>
  <c r="A61" i="4"/>
  <c r="F60" i="4"/>
  <c r="G60" i="4" s="1"/>
  <c r="D60" i="4"/>
  <c r="E60" i="4" s="1"/>
  <c r="B60" i="4"/>
  <c r="C60" i="4"/>
  <c r="D50" i="4"/>
  <c r="E50" i="4" s="1"/>
  <c r="F51" i="4"/>
  <c r="G51" i="4" s="1"/>
  <c r="I50" i="4"/>
  <c r="D57" i="4"/>
  <c r="E57" i="4" s="1"/>
  <c r="D49" i="4"/>
  <c r="E49" i="4" s="1"/>
  <c r="F50" i="4"/>
  <c r="G50" i="4" s="1"/>
  <c r="I54" i="4"/>
  <c r="D54" i="4"/>
  <c r="E54" i="4" s="1"/>
  <c r="I59" i="4"/>
  <c r="I57" i="4"/>
  <c r="I60" i="4"/>
  <c r="I47" i="4"/>
  <c r="I53" i="4"/>
  <c r="I55" i="4"/>
  <c r="I49" i="4"/>
  <c r="I48" i="4"/>
  <c r="I58" i="4"/>
  <c r="F57" i="4"/>
  <c r="G57" i="4" s="1"/>
  <c r="F47" i="4"/>
  <c r="G47" i="4" s="1"/>
  <c r="H58" i="4"/>
  <c r="S22" i="2"/>
  <c r="S21" i="2"/>
  <c r="Q22" i="2"/>
  <c r="Q21" i="2"/>
  <c r="O22" i="2"/>
  <c r="O21" i="2"/>
  <c r="B33" i="2"/>
  <c r="G72" i="4" l="1"/>
  <c r="H72" i="4"/>
  <c r="J72" i="4" s="1"/>
  <c r="J71" i="4"/>
  <c r="K71" i="4" s="1"/>
  <c r="H79" i="4" s="1"/>
  <c r="B77" i="4"/>
  <c r="H97" i="12"/>
  <c r="L97" i="12" s="1"/>
  <c r="F48" i="12"/>
  <c r="E48" i="12"/>
  <c r="J48" i="12"/>
  <c r="K48" i="12" s="1"/>
  <c r="G48" i="12"/>
  <c r="E98" i="12"/>
  <c r="F98" i="12"/>
  <c r="H47" i="12"/>
  <c r="L47" i="12" s="1"/>
  <c r="G98" i="12"/>
  <c r="J98" i="12"/>
  <c r="K98" i="12" s="1"/>
  <c r="H39" i="13"/>
  <c r="I38" i="13"/>
  <c r="I14" i="13"/>
  <c r="E39" i="13"/>
  <c r="A41" i="13"/>
  <c r="C40" i="13"/>
  <c r="D40" i="13" s="1"/>
  <c r="G40" i="13" s="1"/>
  <c r="B40" i="13"/>
  <c r="F40" i="13" s="1"/>
  <c r="A100" i="12"/>
  <c r="C99" i="12"/>
  <c r="D99" i="12" s="1"/>
  <c r="B99" i="12"/>
  <c r="N14" i="12"/>
  <c r="I19" i="12" s="1"/>
  <c r="I20" i="12" s="1"/>
  <c r="C49" i="12"/>
  <c r="D49" i="12" s="1"/>
  <c r="B49" i="12"/>
  <c r="E47" i="4"/>
  <c r="H47" i="4"/>
  <c r="J47" i="4" s="1"/>
  <c r="H54" i="4"/>
  <c r="J54" i="4" s="1"/>
  <c r="K54" i="4" s="1"/>
  <c r="A62" i="4"/>
  <c r="F61" i="4"/>
  <c r="G61" i="4" s="1"/>
  <c r="I61" i="4"/>
  <c r="D61" i="4"/>
  <c r="E61" i="4" s="1"/>
  <c r="B61" i="4"/>
  <c r="C61" i="4"/>
  <c r="H56" i="4"/>
  <c r="J56" i="4" s="1"/>
  <c r="K56" i="4" s="1"/>
  <c r="H59" i="4"/>
  <c r="J59" i="4" s="1"/>
  <c r="K59" i="4" s="1"/>
  <c r="H50" i="4"/>
  <c r="J50" i="4" s="1"/>
  <c r="K50" i="4" s="1"/>
  <c r="H51" i="4"/>
  <c r="J51" i="4" s="1"/>
  <c r="K51" i="4" s="1"/>
  <c r="H53" i="4"/>
  <c r="J53" i="4" s="1"/>
  <c r="K53" i="4" s="1"/>
  <c r="H57" i="4"/>
  <c r="J57" i="4" s="1"/>
  <c r="K57" i="4" s="1"/>
  <c r="H52" i="4"/>
  <c r="J52" i="4" s="1"/>
  <c r="K52" i="4" s="1"/>
  <c r="J58" i="4"/>
  <c r="K58" i="4" s="1"/>
  <c r="H55" i="4"/>
  <c r="J55" i="4" s="1"/>
  <c r="K55" i="4" s="1"/>
  <c r="H49" i="4"/>
  <c r="J49" i="4" s="1"/>
  <c r="K49" i="4" s="1"/>
  <c r="H60" i="4"/>
  <c r="J60" i="4" s="1"/>
  <c r="K60" i="4" s="1"/>
  <c r="H48" i="4"/>
  <c r="J48" i="4" s="1"/>
  <c r="K48" i="4" s="1"/>
  <c r="Q34" i="2"/>
  <c r="O34" i="2"/>
  <c r="S34" i="2"/>
  <c r="S25" i="2"/>
  <c r="S27" i="2"/>
  <c r="S29" i="2"/>
  <c r="S31" i="2"/>
  <c r="S33" i="2"/>
  <c r="S26" i="2"/>
  <c r="S28" i="2"/>
  <c r="S30" i="2"/>
  <c r="S32" i="2"/>
  <c r="Q25" i="2"/>
  <c r="Q27" i="2"/>
  <c r="Q29" i="2"/>
  <c r="Q31" i="2"/>
  <c r="Q33" i="2"/>
  <c r="Q26" i="2"/>
  <c r="Q28" i="2"/>
  <c r="Q30" i="2"/>
  <c r="Q32" i="2"/>
  <c r="O25" i="2"/>
  <c r="O27" i="2"/>
  <c r="O29" i="2"/>
  <c r="O31" i="2"/>
  <c r="O33" i="2"/>
  <c r="O26" i="2"/>
  <c r="O28" i="2"/>
  <c r="O30" i="2"/>
  <c r="O32" i="2"/>
  <c r="H80" i="4" l="1"/>
  <c r="B81" i="4"/>
  <c r="B82" i="4" s="1"/>
  <c r="B79" i="4"/>
  <c r="K72" i="4"/>
  <c r="K47" i="4"/>
  <c r="J49" i="12"/>
  <c r="K49" i="12" s="1"/>
  <c r="G49" i="12"/>
  <c r="F49" i="12"/>
  <c r="E49" i="12"/>
  <c r="H48" i="12"/>
  <c r="L48" i="12" s="1"/>
  <c r="J99" i="12"/>
  <c r="K99" i="12" s="1"/>
  <c r="G99" i="12"/>
  <c r="F99" i="12"/>
  <c r="E99" i="12"/>
  <c r="H98" i="12"/>
  <c r="L98" i="12" s="1"/>
  <c r="H40" i="13"/>
  <c r="I39" i="13"/>
  <c r="E40" i="13"/>
  <c r="C41" i="13"/>
  <c r="D41" i="13" s="1"/>
  <c r="G41" i="13" s="1"/>
  <c r="A42" i="13"/>
  <c r="B41" i="13"/>
  <c r="F41" i="13" s="1"/>
  <c r="A101" i="12"/>
  <c r="A102" i="12" s="1"/>
  <c r="C100" i="12"/>
  <c r="D100" i="12" s="1"/>
  <c r="B100" i="12"/>
  <c r="C50" i="12"/>
  <c r="D50" i="12" s="1"/>
  <c r="B50" i="12"/>
  <c r="A63" i="4"/>
  <c r="F62" i="4"/>
  <c r="G62" i="4" s="1"/>
  <c r="I62" i="4"/>
  <c r="D62" i="4"/>
  <c r="E62" i="4" s="1"/>
  <c r="B62" i="4"/>
  <c r="C62" i="4"/>
  <c r="H61" i="4"/>
  <c r="J61" i="4" s="1"/>
  <c r="K61" i="4" s="1"/>
  <c r="H78" i="4" l="1"/>
  <c r="K80" i="4" s="1"/>
  <c r="U17" i="13"/>
  <c r="B83" i="4"/>
  <c r="E81" i="4" s="1"/>
  <c r="U17" i="12"/>
  <c r="I24" i="12"/>
  <c r="E50" i="12"/>
  <c r="F50" i="12"/>
  <c r="H99" i="12"/>
  <c r="L99" i="12" s="1"/>
  <c r="H49" i="12"/>
  <c r="L49" i="12" s="1"/>
  <c r="J50" i="12"/>
  <c r="K50" i="12" s="1"/>
  <c r="G50" i="12"/>
  <c r="E100" i="12"/>
  <c r="F100" i="12"/>
  <c r="G100" i="12"/>
  <c r="J100" i="12"/>
  <c r="K100" i="12" s="1"/>
  <c r="I116" i="12"/>
  <c r="I107" i="12"/>
  <c r="I102" i="12"/>
  <c r="I93" i="12"/>
  <c r="I84" i="12"/>
  <c r="I75" i="12"/>
  <c r="I70" i="12"/>
  <c r="I61" i="12"/>
  <c r="I52" i="12"/>
  <c r="I43" i="12"/>
  <c r="I35" i="12"/>
  <c r="I94" i="12"/>
  <c r="I85" i="12"/>
  <c r="I67" i="12"/>
  <c r="I62" i="12"/>
  <c r="I53" i="12"/>
  <c r="I44" i="12"/>
  <c r="I36" i="12"/>
  <c r="I68" i="12"/>
  <c r="I56" i="12"/>
  <c r="I125" i="12"/>
  <c r="I121" i="12"/>
  <c r="I112" i="12"/>
  <c r="I103" i="12"/>
  <c r="I98" i="12"/>
  <c r="I89" i="12"/>
  <c r="I80" i="12"/>
  <c r="I71" i="12"/>
  <c r="I66" i="12"/>
  <c r="I57" i="12"/>
  <c r="I48" i="12"/>
  <c r="I39" i="12"/>
  <c r="I32" i="12"/>
  <c r="I29" i="12"/>
  <c r="I26" i="12"/>
  <c r="I117" i="12"/>
  <c r="I108" i="12"/>
  <c r="I99" i="12"/>
  <c r="I76" i="12"/>
  <c r="I59" i="12"/>
  <c r="I88" i="12"/>
  <c r="I79" i="12"/>
  <c r="I65" i="12"/>
  <c r="I42" i="12"/>
  <c r="I28" i="12"/>
  <c r="I122" i="12"/>
  <c r="I113" i="12"/>
  <c r="I104" i="12"/>
  <c r="I95" i="12"/>
  <c r="I90" i="12"/>
  <c r="I81" i="12"/>
  <c r="I72" i="12"/>
  <c r="I63" i="12"/>
  <c r="I58" i="12"/>
  <c r="I49" i="12"/>
  <c r="I40" i="12"/>
  <c r="I33" i="12"/>
  <c r="I123" i="12"/>
  <c r="I118" i="12"/>
  <c r="I109" i="12"/>
  <c r="I100" i="12"/>
  <c r="I91" i="12"/>
  <c r="I86" i="12"/>
  <c r="I77" i="12"/>
  <c r="I54" i="12"/>
  <c r="I45" i="12"/>
  <c r="I37" i="12"/>
  <c r="I30" i="12"/>
  <c r="I119" i="12"/>
  <c r="I114" i="12"/>
  <c r="I105" i="12"/>
  <c r="I96" i="12"/>
  <c r="I87" i="12"/>
  <c r="I82" i="12"/>
  <c r="I73" i="12"/>
  <c r="I64" i="12"/>
  <c r="I55" i="12"/>
  <c r="I50" i="12"/>
  <c r="I41" i="12"/>
  <c r="I34" i="12"/>
  <c r="I27" i="12"/>
  <c r="I25" i="12"/>
  <c r="M25" i="12" s="1"/>
  <c r="N25" i="12" s="1"/>
  <c r="I124" i="12"/>
  <c r="I115" i="12"/>
  <c r="I110" i="12"/>
  <c r="I101" i="12"/>
  <c r="I92" i="12"/>
  <c r="I83" i="12"/>
  <c r="I78" i="12"/>
  <c r="I69" i="12"/>
  <c r="I60" i="12"/>
  <c r="I51" i="12"/>
  <c r="I46" i="12"/>
  <c r="I38" i="12"/>
  <c r="I120" i="12"/>
  <c r="I111" i="12"/>
  <c r="I106" i="12"/>
  <c r="I97" i="12"/>
  <c r="I74" i="12"/>
  <c r="I47" i="12"/>
  <c r="I31" i="12"/>
  <c r="H41" i="13"/>
  <c r="I40" i="13"/>
  <c r="A43" i="13"/>
  <c r="C42" i="13"/>
  <c r="D42" i="13" s="1"/>
  <c r="G42" i="13" s="1"/>
  <c r="B42" i="13"/>
  <c r="F42" i="13" s="1"/>
  <c r="E41" i="13"/>
  <c r="A103" i="12"/>
  <c r="B102" i="12"/>
  <c r="C102" i="12"/>
  <c r="D102" i="12" s="1"/>
  <c r="B101" i="12"/>
  <c r="C101" i="12"/>
  <c r="D101" i="12" s="1"/>
  <c r="C51" i="12"/>
  <c r="D51" i="12" s="1"/>
  <c r="B51" i="12"/>
  <c r="H62" i="4"/>
  <c r="J62" i="4" s="1"/>
  <c r="K62" i="4" s="1"/>
  <c r="B63" i="4"/>
  <c r="F63" i="4"/>
  <c r="G63" i="4" s="1"/>
  <c r="I63" i="4"/>
  <c r="D63" i="4"/>
  <c r="E63" i="4" s="1"/>
  <c r="A64" i="4"/>
  <c r="C63" i="4"/>
  <c r="D32" i="2"/>
  <c r="B13" i="2"/>
  <c r="C13" i="2" s="1"/>
  <c r="D13" i="2"/>
  <c r="D14" i="2"/>
  <c r="D15" i="2"/>
  <c r="D16" i="2"/>
  <c r="D17" i="2"/>
  <c r="D18" i="2"/>
  <c r="B14" i="2"/>
  <c r="C14" i="2" s="1"/>
  <c r="B15" i="2"/>
  <c r="C15" i="2" s="1"/>
  <c r="B16" i="2"/>
  <c r="C16" i="2" s="1"/>
  <c r="B17" i="2"/>
  <c r="C17" i="2" s="1"/>
  <c r="B18" i="2"/>
  <c r="C18" i="2" s="1"/>
  <c r="B19" i="2"/>
  <c r="C19" i="2" s="1"/>
  <c r="B20" i="2"/>
  <c r="C20" i="2" s="1"/>
  <c r="B21" i="2"/>
  <c r="C21" i="2" s="1"/>
  <c r="B22" i="2"/>
  <c r="C22" i="2" s="1"/>
  <c r="B30" i="2"/>
  <c r="D30" i="2" s="1"/>
  <c r="B31" i="2"/>
  <c r="C31" i="2" s="1"/>
  <c r="E31" i="2" s="1"/>
  <c r="C32" i="2"/>
  <c r="E32" i="2" s="1"/>
  <c r="D19" i="2"/>
  <c r="D20" i="2"/>
  <c r="D21" i="2"/>
  <c r="D22" i="2"/>
  <c r="K79" i="4" l="1"/>
  <c r="K78" i="4"/>
  <c r="K85" i="4"/>
  <c r="K77" i="4"/>
  <c r="K84" i="4"/>
  <c r="K76" i="4"/>
  <c r="K83" i="4"/>
  <c r="K75" i="4"/>
  <c r="K82" i="4"/>
  <c r="K81" i="4"/>
  <c r="E85" i="4"/>
  <c r="E75" i="4"/>
  <c r="E84" i="4"/>
  <c r="E76" i="4"/>
  <c r="E82" i="4"/>
  <c r="E77" i="4"/>
  <c r="E83" i="4"/>
  <c r="U18" i="12"/>
  <c r="U18" i="13"/>
  <c r="E80" i="4"/>
  <c r="U19" i="13"/>
  <c r="U19" i="12"/>
  <c r="E79" i="4"/>
  <c r="E78" i="4"/>
  <c r="M62" i="12"/>
  <c r="N62" i="12" s="1"/>
  <c r="M31" i="12"/>
  <c r="N31" i="12" s="1"/>
  <c r="M46" i="12"/>
  <c r="N46" i="12" s="1"/>
  <c r="M100" i="12"/>
  <c r="M63" i="12"/>
  <c r="N63" i="12" s="1"/>
  <c r="M99" i="12"/>
  <c r="N99" i="12" s="1"/>
  <c r="M67" i="12"/>
  <c r="N67" i="12" s="1"/>
  <c r="M75" i="12"/>
  <c r="N75" i="12" s="1"/>
  <c r="M85" i="12"/>
  <c r="N85" i="12" s="1"/>
  <c r="M84" i="12"/>
  <c r="N84" i="12" s="1"/>
  <c r="M76" i="12"/>
  <c r="N76" i="12" s="1"/>
  <c r="M70" i="12"/>
  <c r="N70" i="12" s="1"/>
  <c r="M30" i="12"/>
  <c r="N30" i="12" s="1"/>
  <c r="M74" i="12"/>
  <c r="N74" i="12" s="1"/>
  <c r="M73" i="12"/>
  <c r="N73" i="12" s="1"/>
  <c r="M37" i="12"/>
  <c r="N37" i="12" s="1"/>
  <c r="M81" i="12"/>
  <c r="N81" i="12" s="1"/>
  <c r="M42" i="12"/>
  <c r="N42" i="12" s="1"/>
  <c r="M71" i="12"/>
  <c r="N71" i="12" s="1"/>
  <c r="M94" i="12"/>
  <c r="N94" i="12" s="1"/>
  <c r="M93" i="12"/>
  <c r="N93" i="12" s="1"/>
  <c r="M28" i="12"/>
  <c r="N28" i="12" s="1"/>
  <c r="M97" i="12"/>
  <c r="N97" i="12" s="1"/>
  <c r="M69" i="12"/>
  <c r="N69" i="12" s="1"/>
  <c r="M82" i="12"/>
  <c r="N82" i="12" s="1"/>
  <c r="M45" i="12"/>
  <c r="N45" i="12" s="1"/>
  <c r="M90" i="12"/>
  <c r="N90" i="12" s="1"/>
  <c r="M65" i="12"/>
  <c r="N65" i="12" s="1"/>
  <c r="M26" i="12"/>
  <c r="N26" i="12" s="1"/>
  <c r="M80" i="12"/>
  <c r="N80" i="12" s="1"/>
  <c r="M68" i="12"/>
  <c r="N68" i="12" s="1"/>
  <c r="M35" i="12"/>
  <c r="N35" i="12" s="1"/>
  <c r="M48" i="12"/>
  <c r="N48" i="12" s="1"/>
  <c r="M72" i="12"/>
  <c r="N72" i="12" s="1"/>
  <c r="M78" i="12"/>
  <c r="N78" i="12" s="1"/>
  <c r="M27" i="12"/>
  <c r="N27" i="12" s="1"/>
  <c r="M87" i="12"/>
  <c r="N87" i="12" s="1"/>
  <c r="M33" i="12"/>
  <c r="N33" i="12" s="1"/>
  <c r="M95" i="12"/>
  <c r="N95" i="12" s="1"/>
  <c r="M79" i="12"/>
  <c r="N79" i="12" s="1"/>
  <c r="M29" i="12"/>
  <c r="N29" i="12" s="1"/>
  <c r="M89" i="12"/>
  <c r="N89" i="12" s="1"/>
  <c r="M36" i="12"/>
  <c r="N36" i="12" s="1"/>
  <c r="M43" i="12"/>
  <c r="N43" i="12" s="1"/>
  <c r="M38" i="12"/>
  <c r="N38" i="12" s="1"/>
  <c r="M91" i="12"/>
  <c r="N91" i="12" s="1"/>
  <c r="M47" i="12"/>
  <c r="N47" i="12" s="1"/>
  <c r="M64" i="12"/>
  <c r="N64" i="12" s="1"/>
  <c r="M66" i="12"/>
  <c r="N66" i="12" s="1"/>
  <c r="M83" i="12"/>
  <c r="N83" i="12" s="1"/>
  <c r="M34" i="12"/>
  <c r="N34" i="12" s="1"/>
  <c r="M96" i="12"/>
  <c r="N96" i="12" s="1"/>
  <c r="M77" i="12"/>
  <c r="N77" i="12" s="1"/>
  <c r="M40" i="12"/>
  <c r="N40" i="12" s="1"/>
  <c r="M88" i="12"/>
  <c r="N88" i="12" s="1"/>
  <c r="M32" i="12"/>
  <c r="N32" i="12" s="1"/>
  <c r="M98" i="12"/>
  <c r="N98" i="12" s="1"/>
  <c r="M44" i="12"/>
  <c r="N44" i="12" s="1"/>
  <c r="M92" i="12"/>
  <c r="N92" i="12" s="1"/>
  <c r="M41" i="12"/>
  <c r="N41" i="12" s="1"/>
  <c r="M86" i="12"/>
  <c r="N86" i="12" s="1"/>
  <c r="M49" i="12"/>
  <c r="N49" i="12" s="1"/>
  <c r="M39" i="12"/>
  <c r="N39" i="12" s="1"/>
  <c r="M61" i="12"/>
  <c r="N61" i="12" s="1"/>
  <c r="E102" i="12"/>
  <c r="F102" i="12"/>
  <c r="G51" i="12"/>
  <c r="J51" i="12"/>
  <c r="K51" i="12" s="1"/>
  <c r="M51" i="12" s="1"/>
  <c r="J101" i="12"/>
  <c r="K101" i="12" s="1"/>
  <c r="M101" i="12" s="1"/>
  <c r="G101" i="12"/>
  <c r="F51" i="12"/>
  <c r="E51" i="12"/>
  <c r="H100" i="12"/>
  <c r="L100" i="12" s="1"/>
  <c r="F101" i="12"/>
  <c r="E101" i="12"/>
  <c r="J102" i="12"/>
  <c r="K102" i="12" s="1"/>
  <c r="M102" i="12" s="1"/>
  <c r="G102" i="12"/>
  <c r="M50" i="12"/>
  <c r="H50" i="12"/>
  <c r="L50" i="12" s="1"/>
  <c r="H42" i="13"/>
  <c r="I41" i="13"/>
  <c r="E42" i="13"/>
  <c r="A44" i="13"/>
  <c r="C43" i="13"/>
  <c r="D43" i="13" s="1"/>
  <c r="G43" i="13" s="1"/>
  <c r="B43" i="13"/>
  <c r="F43" i="13" s="1"/>
  <c r="A104" i="12"/>
  <c r="C103" i="12"/>
  <c r="D103" i="12" s="1"/>
  <c r="B103" i="12"/>
  <c r="C52" i="12"/>
  <c r="D52" i="12" s="1"/>
  <c r="B52" i="12"/>
  <c r="H63" i="4"/>
  <c r="J63" i="4" s="1"/>
  <c r="K63" i="4" s="1"/>
  <c r="F64" i="4"/>
  <c r="G64" i="4" s="1"/>
  <c r="I64" i="4"/>
  <c r="D64" i="4"/>
  <c r="E64" i="4" s="1"/>
  <c r="B64" i="4"/>
  <c r="C64" i="4"/>
  <c r="A65" i="4"/>
  <c r="C30" i="2"/>
  <c r="E30" i="2" s="1"/>
  <c r="D31" i="2"/>
  <c r="D13" i="13" l="1"/>
  <c r="G13" i="13" s="1"/>
  <c r="D24" i="12"/>
  <c r="N100" i="12"/>
  <c r="N50" i="12"/>
  <c r="J52" i="12"/>
  <c r="K52" i="12" s="1"/>
  <c r="M52" i="12" s="1"/>
  <c r="G52" i="12"/>
  <c r="H101" i="12"/>
  <c r="L101" i="12" s="1"/>
  <c r="N101" i="12" s="1"/>
  <c r="F103" i="12"/>
  <c r="E103" i="12"/>
  <c r="F52" i="12"/>
  <c r="E52" i="12"/>
  <c r="J103" i="12"/>
  <c r="K103" i="12" s="1"/>
  <c r="M103" i="12" s="1"/>
  <c r="G103" i="12"/>
  <c r="H51" i="12"/>
  <c r="L51" i="12" s="1"/>
  <c r="N51" i="12" s="1"/>
  <c r="H102" i="12"/>
  <c r="L102" i="12" s="1"/>
  <c r="N102" i="12" s="1"/>
  <c r="H43" i="13"/>
  <c r="I42" i="13"/>
  <c r="E43" i="13"/>
  <c r="A45" i="13"/>
  <c r="C44" i="13"/>
  <c r="D44" i="13" s="1"/>
  <c r="G44" i="13" s="1"/>
  <c r="B44" i="13"/>
  <c r="F44" i="13" s="1"/>
  <c r="A105" i="12"/>
  <c r="B104" i="12"/>
  <c r="C104" i="12"/>
  <c r="D104" i="12" s="1"/>
  <c r="C53" i="12"/>
  <c r="D53" i="12" s="1"/>
  <c r="B53" i="12"/>
  <c r="H64" i="4"/>
  <c r="J64" i="4" s="1"/>
  <c r="K64" i="4" s="1"/>
  <c r="F65" i="4"/>
  <c r="G65" i="4" s="1"/>
  <c r="I65" i="4"/>
  <c r="D65" i="4"/>
  <c r="E65" i="4" s="1"/>
  <c r="A66" i="4"/>
  <c r="B65" i="4"/>
  <c r="C65" i="4"/>
  <c r="B13" i="13" l="1"/>
  <c r="F13" i="13" s="1"/>
  <c r="H13" i="13" s="1"/>
  <c r="B24" i="12"/>
  <c r="J24" i="12"/>
  <c r="K24" i="12" s="1"/>
  <c r="M24" i="12" s="1"/>
  <c r="G24" i="12"/>
  <c r="I43" i="13"/>
  <c r="J53" i="12"/>
  <c r="K53" i="12" s="1"/>
  <c r="M53" i="12" s="1"/>
  <c r="G53" i="12"/>
  <c r="G104" i="12"/>
  <c r="J104" i="12"/>
  <c r="K104" i="12" s="1"/>
  <c r="M104" i="12" s="1"/>
  <c r="E53" i="12"/>
  <c r="F53" i="12"/>
  <c r="F104" i="12"/>
  <c r="E104" i="12"/>
  <c r="H52" i="12"/>
  <c r="L52" i="12" s="1"/>
  <c r="N52" i="12" s="1"/>
  <c r="H103" i="12"/>
  <c r="L103" i="12" s="1"/>
  <c r="N103" i="12" s="1"/>
  <c r="H44" i="13"/>
  <c r="A46" i="13"/>
  <c r="C45" i="13"/>
  <c r="D45" i="13" s="1"/>
  <c r="G45" i="13" s="1"/>
  <c r="B45" i="13"/>
  <c r="F45" i="13" s="1"/>
  <c r="E44" i="13"/>
  <c r="A106" i="12"/>
  <c r="C105" i="12"/>
  <c r="D105" i="12" s="1"/>
  <c r="B105" i="12"/>
  <c r="C54" i="12"/>
  <c r="D54" i="12" s="1"/>
  <c r="B54" i="12"/>
  <c r="H65" i="4"/>
  <c r="J65" i="4" s="1"/>
  <c r="K65" i="4" s="1"/>
  <c r="I66" i="4"/>
  <c r="D66" i="4"/>
  <c r="E66" i="4" s="1"/>
  <c r="F66" i="4"/>
  <c r="G66" i="4" s="1"/>
  <c r="B66" i="4"/>
  <c r="A67" i="4"/>
  <c r="C66" i="4"/>
  <c r="E13" i="13" l="1"/>
  <c r="I13" i="13" s="1"/>
  <c r="F24" i="12"/>
  <c r="E24" i="12"/>
  <c r="F105" i="12"/>
  <c r="E105" i="12"/>
  <c r="J105" i="12"/>
  <c r="K105" i="12" s="1"/>
  <c r="M105" i="12" s="1"/>
  <c r="G105" i="12"/>
  <c r="H104" i="12"/>
  <c r="L104" i="12" s="1"/>
  <c r="N104" i="12" s="1"/>
  <c r="F54" i="12"/>
  <c r="E54" i="12"/>
  <c r="J54" i="12"/>
  <c r="K54" i="12" s="1"/>
  <c r="M54" i="12" s="1"/>
  <c r="G54" i="12"/>
  <c r="H53" i="12"/>
  <c r="L53" i="12" s="1"/>
  <c r="N53" i="12" s="1"/>
  <c r="I44" i="13"/>
  <c r="H45" i="13"/>
  <c r="E45" i="13"/>
  <c r="C46" i="13"/>
  <c r="D46" i="13" s="1"/>
  <c r="G46" i="13" s="1"/>
  <c r="A47" i="13"/>
  <c r="B46" i="13"/>
  <c r="F46" i="13" s="1"/>
  <c r="A107" i="12"/>
  <c r="C106" i="12"/>
  <c r="D106" i="12" s="1"/>
  <c r="B106" i="12"/>
  <c r="C55" i="12"/>
  <c r="D55" i="12" s="1"/>
  <c r="B55" i="12"/>
  <c r="H66" i="4"/>
  <c r="J66" i="4" s="1"/>
  <c r="K66" i="4" s="1"/>
  <c r="D67" i="4"/>
  <c r="E67" i="4" s="1"/>
  <c r="F67" i="4"/>
  <c r="G67" i="4" s="1"/>
  <c r="I67" i="4"/>
  <c r="C67" i="4"/>
  <c r="B67" i="4"/>
  <c r="H24" i="12" l="1"/>
  <c r="L24" i="12" s="1"/>
  <c r="N24" i="12" s="1"/>
  <c r="H67" i="4"/>
  <c r="J67" i="4" s="1"/>
  <c r="K67" i="4" s="1"/>
  <c r="G106" i="12"/>
  <c r="J106" i="12"/>
  <c r="K106" i="12" s="1"/>
  <c r="M106" i="12" s="1"/>
  <c r="E106" i="12"/>
  <c r="F106" i="12"/>
  <c r="H54" i="12"/>
  <c r="L54" i="12" s="1"/>
  <c r="N54" i="12" s="1"/>
  <c r="F55" i="12"/>
  <c r="E55" i="12"/>
  <c r="J55" i="12"/>
  <c r="K55" i="12" s="1"/>
  <c r="M55" i="12" s="1"/>
  <c r="G55" i="12"/>
  <c r="H105" i="12"/>
  <c r="L105" i="12" s="1"/>
  <c r="N105" i="12" s="1"/>
  <c r="I45" i="13"/>
  <c r="H46" i="13"/>
  <c r="E46" i="13"/>
  <c r="A48" i="13"/>
  <c r="C47" i="13"/>
  <c r="D47" i="13" s="1"/>
  <c r="G47" i="13" s="1"/>
  <c r="B47" i="13"/>
  <c r="F47" i="13" s="1"/>
  <c r="A108" i="12"/>
  <c r="C107" i="12"/>
  <c r="D107" i="12" s="1"/>
  <c r="B107" i="12"/>
  <c r="C56" i="12"/>
  <c r="D56" i="12" s="1"/>
  <c r="B56" i="12"/>
  <c r="J107" i="12" l="1"/>
  <c r="K107" i="12" s="1"/>
  <c r="M107" i="12" s="1"/>
  <c r="G107" i="12"/>
  <c r="H106" i="12"/>
  <c r="L106" i="12" s="1"/>
  <c r="N106" i="12" s="1"/>
  <c r="F56" i="12"/>
  <c r="E56" i="12"/>
  <c r="F107" i="12"/>
  <c r="E107" i="12"/>
  <c r="H55" i="12"/>
  <c r="L55" i="12" s="1"/>
  <c r="N55" i="12" s="1"/>
  <c r="G56" i="12"/>
  <c r="J56" i="12"/>
  <c r="K56" i="12" s="1"/>
  <c r="M56" i="12" s="1"/>
  <c r="H47" i="13"/>
  <c r="I46" i="13"/>
  <c r="C48" i="13"/>
  <c r="D48" i="13" s="1"/>
  <c r="G48" i="13" s="1"/>
  <c r="A49" i="13"/>
  <c r="B48" i="13"/>
  <c r="F48" i="13" s="1"/>
  <c r="E47" i="13"/>
  <c r="A109" i="12"/>
  <c r="C108" i="12"/>
  <c r="D108" i="12" s="1"/>
  <c r="B108" i="12"/>
  <c r="C57" i="12"/>
  <c r="D57" i="12" s="1"/>
  <c r="B57" i="12"/>
  <c r="E108" i="12" l="1"/>
  <c r="F108" i="12"/>
  <c r="F57" i="12"/>
  <c r="E57" i="12"/>
  <c r="J57" i="12"/>
  <c r="K57" i="12" s="1"/>
  <c r="M57" i="12" s="1"/>
  <c r="G57" i="12"/>
  <c r="H56" i="12"/>
  <c r="L56" i="12" s="1"/>
  <c r="N56" i="12" s="1"/>
  <c r="H107" i="12"/>
  <c r="L107" i="12" s="1"/>
  <c r="N107" i="12" s="1"/>
  <c r="G108" i="12"/>
  <c r="J108" i="12"/>
  <c r="K108" i="12" s="1"/>
  <c r="M108" i="12" s="1"/>
  <c r="H48" i="13"/>
  <c r="I47" i="13"/>
  <c r="E48" i="13"/>
  <c r="C49" i="13"/>
  <c r="D49" i="13" s="1"/>
  <c r="G49" i="13" s="1"/>
  <c r="A50" i="13"/>
  <c r="B49" i="13"/>
  <c r="F49" i="13" s="1"/>
  <c r="B109" i="12"/>
  <c r="A110" i="12"/>
  <c r="C109" i="12"/>
  <c r="D109" i="12" s="1"/>
  <c r="C58" i="12"/>
  <c r="D58" i="12" s="1"/>
  <c r="B58" i="12"/>
  <c r="H57" i="12" l="1"/>
  <c r="L57" i="12" s="1"/>
  <c r="N57" i="12" s="1"/>
  <c r="J109" i="12"/>
  <c r="K109" i="12" s="1"/>
  <c r="M109" i="12" s="1"/>
  <c r="G109" i="12"/>
  <c r="F109" i="12"/>
  <c r="E109" i="12"/>
  <c r="E58" i="12"/>
  <c r="F58" i="12"/>
  <c r="H108" i="12"/>
  <c r="L108" i="12" s="1"/>
  <c r="N108" i="12" s="1"/>
  <c r="G58" i="12"/>
  <c r="J58" i="12"/>
  <c r="K58" i="12" s="1"/>
  <c r="M58" i="12" s="1"/>
  <c r="H49" i="13"/>
  <c r="I48" i="13"/>
  <c r="E49" i="13"/>
  <c r="C50" i="13"/>
  <c r="D50" i="13" s="1"/>
  <c r="G50" i="13" s="1"/>
  <c r="A51" i="13"/>
  <c r="B50" i="13"/>
  <c r="F50" i="13" s="1"/>
  <c r="C110" i="12"/>
  <c r="D110" i="12" s="1"/>
  <c r="B110" i="12"/>
  <c r="A111" i="12"/>
  <c r="C59" i="12"/>
  <c r="D59" i="12" s="1"/>
  <c r="B59" i="12"/>
  <c r="E110" i="12" l="1"/>
  <c r="F110" i="12"/>
  <c r="J110" i="12"/>
  <c r="K110" i="12" s="1"/>
  <c r="M110" i="12" s="1"/>
  <c r="G110" i="12"/>
  <c r="F59" i="12"/>
  <c r="E59" i="12"/>
  <c r="H58" i="12"/>
  <c r="L58" i="12" s="1"/>
  <c r="N58" i="12" s="1"/>
  <c r="G59" i="12"/>
  <c r="J59" i="12"/>
  <c r="K59" i="12" s="1"/>
  <c r="M59" i="12" s="1"/>
  <c r="H109" i="12"/>
  <c r="L109" i="12" s="1"/>
  <c r="N109" i="12" s="1"/>
  <c r="H50" i="13"/>
  <c r="I49" i="13"/>
  <c r="E50" i="13"/>
  <c r="C51" i="13"/>
  <c r="D51" i="13" s="1"/>
  <c r="G51" i="13" s="1"/>
  <c r="A52" i="13"/>
  <c r="B51" i="13"/>
  <c r="F51" i="13" s="1"/>
  <c r="A112" i="12"/>
  <c r="C111" i="12"/>
  <c r="D111" i="12" s="1"/>
  <c r="B111" i="12"/>
  <c r="C60" i="12"/>
  <c r="D60" i="12" s="1"/>
  <c r="B60" i="12"/>
  <c r="E60" i="12" l="1"/>
  <c r="F60" i="12"/>
  <c r="J60" i="12"/>
  <c r="K60" i="12" s="1"/>
  <c r="M60" i="12" s="1"/>
  <c r="G60" i="12"/>
  <c r="J111" i="12"/>
  <c r="K111" i="12" s="1"/>
  <c r="M111" i="12" s="1"/>
  <c r="G111" i="12"/>
  <c r="F111" i="12"/>
  <c r="E111" i="12"/>
  <c r="H110" i="12"/>
  <c r="L110" i="12" s="1"/>
  <c r="N110" i="12" s="1"/>
  <c r="H59" i="12"/>
  <c r="L59" i="12" s="1"/>
  <c r="N59" i="12" s="1"/>
  <c r="H51" i="13"/>
  <c r="I50" i="13"/>
  <c r="A53" i="13"/>
  <c r="C52" i="13"/>
  <c r="D52" i="13" s="1"/>
  <c r="G52" i="13" s="1"/>
  <c r="B52" i="13"/>
  <c r="F52" i="13" s="1"/>
  <c r="E51" i="13"/>
  <c r="B112" i="12"/>
  <c r="A113" i="12"/>
  <c r="C112" i="12"/>
  <c r="D112" i="12" s="1"/>
  <c r="I51" i="13" l="1"/>
  <c r="G112" i="12"/>
  <c r="J112" i="12"/>
  <c r="K112" i="12" s="1"/>
  <c r="M112" i="12" s="1"/>
  <c r="H111" i="12"/>
  <c r="L111" i="12" s="1"/>
  <c r="N111" i="12" s="1"/>
  <c r="F112" i="12"/>
  <c r="E112" i="12"/>
  <c r="H60" i="12"/>
  <c r="L60" i="12" s="1"/>
  <c r="N60" i="12" s="1"/>
  <c r="H52" i="13"/>
  <c r="E52" i="13"/>
  <c r="A54" i="13"/>
  <c r="C53" i="13"/>
  <c r="D53" i="13" s="1"/>
  <c r="G53" i="13" s="1"/>
  <c r="B53" i="13"/>
  <c r="F53" i="13" s="1"/>
  <c r="A114" i="12"/>
  <c r="B113" i="12"/>
  <c r="C113" i="12"/>
  <c r="D113" i="12" s="1"/>
  <c r="F113" i="12" l="1"/>
  <c r="E113" i="12"/>
  <c r="J113" i="12"/>
  <c r="K113" i="12" s="1"/>
  <c r="M113" i="12" s="1"/>
  <c r="G113" i="12"/>
  <c r="H112" i="12"/>
  <c r="L112" i="12" s="1"/>
  <c r="N112" i="12" s="1"/>
  <c r="H53" i="13"/>
  <c r="I52" i="13"/>
  <c r="A55" i="13"/>
  <c r="C54" i="13"/>
  <c r="D54" i="13" s="1"/>
  <c r="G54" i="13" s="1"/>
  <c r="B54" i="13"/>
  <c r="F54" i="13" s="1"/>
  <c r="E53" i="13"/>
  <c r="A115" i="12"/>
  <c r="C114" i="12"/>
  <c r="D114" i="12" s="1"/>
  <c r="B114" i="12"/>
  <c r="E114" i="12" l="1"/>
  <c r="F114" i="12"/>
  <c r="G114" i="12"/>
  <c r="J114" i="12"/>
  <c r="K114" i="12" s="1"/>
  <c r="M114" i="12" s="1"/>
  <c r="H113" i="12"/>
  <c r="L113" i="12" s="1"/>
  <c r="N113" i="12" s="1"/>
  <c r="H54" i="13"/>
  <c r="I53" i="13"/>
  <c r="E54" i="13"/>
  <c r="A56" i="13"/>
  <c r="C55" i="13"/>
  <c r="D55" i="13" s="1"/>
  <c r="G55" i="13" s="1"/>
  <c r="B55" i="13"/>
  <c r="F55" i="13" s="1"/>
  <c r="A116" i="12"/>
  <c r="C115" i="12"/>
  <c r="D115" i="12" s="1"/>
  <c r="B115" i="12"/>
  <c r="F115" i="12" l="1"/>
  <c r="E115" i="12"/>
  <c r="J115" i="12"/>
  <c r="K115" i="12" s="1"/>
  <c r="M115" i="12" s="1"/>
  <c r="G115" i="12"/>
  <c r="H114" i="12"/>
  <c r="L114" i="12" s="1"/>
  <c r="N114" i="12" s="1"/>
  <c r="H55" i="13"/>
  <c r="I54" i="13"/>
  <c r="E55" i="13"/>
  <c r="C56" i="13"/>
  <c r="D56" i="13" s="1"/>
  <c r="G56" i="13" s="1"/>
  <c r="A57" i="13"/>
  <c r="B56" i="13"/>
  <c r="F56" i="13" s="1"/>
  <c r="A117" i="12"/>
  <c r="C116" i="12"/>
  <c r="D116" i="12" s="1"/>
  <c r="B116" i="12"/>
  <c r="E116" i="12" l="1"/>
  <c r="F116" i="12"/>
  <c r="H115" i="12"/>
  <c r="L115" i="12" s="1"/>
  <c r="N115" i="12" s="1"/>
  <c r="G116" i="12"/>
  <c r="J116" i="12"/>
  <c r="K116" i="12" s="1"/>
  <c r="M116" i="12" s="1"/>
  <c r="H56" i="13"/>
  <c r="I55" i="13"/>
  <c r="C57" i="13"/>
  <c r="D57" i="13" s="1"/>
  <c r="G57" i="13" s="1"/>
  <c r="A58" i="13"/>
  <c r="B57" i="13"/>
  <c r="F57" i="13" s="1"/>
  <c r="E56" i="13"/>
  <c r="A118" i="12"/>
  <c r="C117" i="12"/>
  <c r="D117" i="12" s="1"/>
  <c r="B117" i="12"/>
  <c r="F117" i="12" l="1"/>
  <c r="E117" i="12"/>
  <c r="J117" i="12"/>
  <c r="K117" i="12" s="1"/>
  <c r="M117" i="12" s="1"/>
  <c r="G117" i="12"/>
  <c r="H116" i="12"/>
  <c r="L116" i="12" s="1"/>
  <c r="N116" i="12" s="1"/>
  <c r="I56" i="13"/>
  <c r="H57" i="13"/>
  <c r="E57" i="13"/>
  <c r="C58" i="13"/>
  <c r="D58" i="13" s="1"/>
  <c r="G58" i="13" s="1"/>
  <c r="A59" i="13"/>
  <c r="B58" i="13"/>
  <c r="F58" i="13" s="1"/>
  <c r="A119" i="12"/>
  <c r="C118" i="12"/>
  <c r="D118" i="12" s="1"/>
  <c r="B118" i="12"/>
  <c r="E118" i="12" l="1"/>
  <c r="F118" i="12"/>
  <c r="H117" i="12"/>
  <c r="L117" i="12" s="1"/>
  <c r="N117" i="12" s="1"/>
  <c r="J118" i="12"/>
  <c r="K118" i="12" s="1"/>
  <c r="M118" i="12" s="1"/>
  <c r="G118" i="12"/>
  <c r="H58" i="13"/>
  <c r="I57" i="13"/>
  <c r="C59" i="13"/>
  <c r="D59" i="13" s="1"/>
  <c r="G59" i="13" s="1"/>
  <c r="A60" i="13"/>
  <c r="B59" i="13"/>
  <c r="F59" i="13" s="1"/>
  <c r="E58" i="13"/>
  <c r="C119" i="12"/>
  <c r="D119" i="12" s="1"/>
  <c r="B119" i="12"/>
  <c r="A120" i="12"/>
  <c r="J119" i="12" l="1"/>
  <c r="K119" i="12" s="1"/>
  <c r="M119" i="12" s="1"/>
  <c r="G119" i="12"/>
  <c r="F119" i="12"/>
  <c r="E119" i="12"/>
  <c r="H118" i="12"/>
  <c r="L118" i="12" s="1"/>
  <c r="N118" i="12" s="1"/>
  <c r="H59" i="13"/>
  <c r="I58" i="13"/>
  <c r="E59" i="13"/>
  <c r="C60" i="13"/>
  <c r="D60" i="13" s="1"/>
  <c r="G60" i="13" s="1"/>
  <c r="A61" i="13"/>
  <c r="B60" i="13"/>
  <c r="F60" i="13" s="1"/>
  <c r="A121" i="12"/>
  <c r="C120" i="12"/>
  <c r="D120" i="12" s="1"/>
  <c r="B120" i="12"/>
  <c r="H119" i="12" l="1"/>
  <c r="L119" i="12" s="1"/>
  <c r="N119" i="12" s="1"/>
  <c r="J120" i="12"/>
  <c r="K120" i="12" s="1"/>
  <c r="M120" i="12" s="1"/>
  <c r="G120" i="12"/>
  <c r="F120" i="12"/>
  <c r="E120" i="12"/>
  <c r="H60" i="13"/>
  <c r="I59" i="13"/>
  <c r="A62" i="13"/>
  <c r="C61" i="13"/>
  <c r="D61" i="13" s="1"/>
  <c r="G61" i="13" s="1"/>
  <c r="B61" i="13"/>
  <c r="F61" i="13" s="1"/>
  <c r="E60" i="13"/>
  <c r="A122" i="12"/>
  <c r="B121" i="12"/>
  <c r="C121" i="12"/>
  <c r="D121" i="12" s="1"/>
  <c r="J121" i="12" l="1"/>
  <c r="K121" i="12" s="1"/>
  <c r="M121" i="12" s="1"/>
  <c r="G121" i="12"/>
  <c r="F121" i="12"/>
  <c r="E121" i="12"/>
  <c r="H120" i="12"/>
  <c r="L120" i="12" s="1"/>
  <c r="N120" i="12" s="1"/>
  <c r="H61" i="13"/>
  <c r="I60" i="13"/>
  <c r="A63" i="13"/>
  <c r="C62" i="13"/>
  <c r="D62" i="13" s="1"/>
  <c r="G62" i="13" s="1"/>
  <c r="B62" i="13"/>
  <c r="F62" i="13" s="1"/>
  <c r="E61" i="13"/>
  <c r="A123" i="12"/>
  <c r="B122" i="12"/>
  <c r="C122" i="12"/>
  <c r="D122" i="12" s="1"/>
  <c r="G122" i="12" l="1"/>
  <c r="J122" i="12"/>
  <c r="K122" i="12" s="1"/>
  <c r="M122" i="12" s="1"/>
  <c r="F122" i="12"/>
  <c r="E122" i="12"/>
  <c r="H121" i="12"/>
  <c r="L121" i="12" s="1"/>
  <c r="N121" i="12" s="1"/>
  <c r="H62" i="13"/>
  <c r="I61" i="13"/>
  <c r="A64" i="13"/>
  <c r="C63" i="13"/>
  <c r="D63" i="13" s="1"/>
  <c r="G63" i="13" s="1"/>
  <c r="B63" i="13"/>
  <c r="F63" i="13" s="1"/>
  <c r="E62" i="13"/>
  <c r="A124" i="12"/>
  <c r="B123" i="12"/>
  <c r="C123" i="12"/>
  <c r="D123" i="12" s="1"/>
  <c r="J123" i="12" l="1"/>
  <c r="K123" i="12" s="1"/>
  <c r="M123" i="12" s="1"/>
  <c r="G123" i="12"/>
  <c r="H122" i="12"/>
  <c r="L122" i="12" s="1"/>
  <c r="N122" i="12" s="1"/>
  <c r="F123" i="12"/>
  <c r="E123" i="12"/>
  <c r="I62" i="13"/>
  <c r="H63" i="13"/>
  <c r="A65" i="13"/>
  <c r="C64" i="13"/>
  <c r="D64" i="13" s="1"/>
  <c r="G64" i="13" s="1"/>
  <c r="B64" i="13"/>
  <c r="F64" i="13" s="1"/>
  <c r="E63" i="13"/>
  <c r="A125" i="12"/>
  <c r="C124" i="12"/>
  <c r="D124" i="12" s="1"/>
  <c r="B124" i="12"/>
  <c r="G124" i="12" l="1"/>
  <c r="J124" i="12"/>
  <c r="K124" i="12" s="1"/>
  <c r="M124" i="12" s="1"/>
  <c r="F124" i="12"/>
  <c r="E124" i="12"/>
  <c r="H123" i="12"/>
  <c r="L123" i="12" s="1"/>
  <c r="N123" i="12" s="1"/>
  <c r="H64" i="13"/>
  <c r="I63" i="13"/>
  <c r="E64" i="13"/>
  <c r="C65" i="13"/>
  <c r="D65" i="13" s="1"/>
  <c r="G65" i="13" s="1"/>
  <c r="A66" i="13"/>
  <c r="B65" i="13"/>
  <c r="F65" i="13" s="1"/>
  <c r="C125" i="12"/>
  <c r="D125" i="12" s="1"/>
  <c r="B125" i="12"/>
  <c r="J125" i="12" l="1"/>
  <c r="K125" i="12" s="1"/>
  <c r="M125" i="12" s="1"/>
  <c r="G125" i="12"/>
  <c r="F125" i="12"/>
  <c r="E125" i="12"/>
  <c r="H124" i="12"/>
  <c r="L124" i="12" s="1"/>
  <c r="N124" i="12" s="1"/>
  <c r="I64" i="13"/>
  <c r="H65" i="13"/>
  <c r="E65" i="13"/>
  <c r="C66" i="13"/>
  <c r="D66" i="13" s="1"/>
  <c r="G66" i="13" s="1"/>
  <c r="A67" i="13"/>
  <c r="B66" i="13"/>
  <c r="F66" i="13" s="1"/>
  <c r="H125" i="12" l="1"/>
  <c r="L125" i="12" s="1"/>
  <c r="N125" i="12" s="1"/>
  <c r="H66" i="13"/>
  <c r="I65" i="13"/>
  <c r="E66" i="13"/>
  <c r="A68" i="13"/>
  <c r="C67" i="13"/>
  <c r="D67" i="13" s="1"/>
  <c r="G67" i="13" s="1"/>
  <c r="B67" i="13"/>
  <c r="F67" i="13" s="1"/>
  <c r="H67" i="13" l="1"/>
  <c r="I66" i="13"/>
  <c r="E67" i="13"/>
  <c r="C68" i="13"/>
  <c r="D68" i="13" s="1"/>
  <c r="G68" i="13" s="1"/>
  <c r="A69" i="13"/>
  <c r="B68" i="13"/>
  <c r="F68" i="13" s="1"/>
  <c r="V93" i="12"/>
  <c r="S125" i="12" s="1"/>
  <c r="H68" i="13" l="1"/>
  <c r="I67" i="13"/>
  <c r="E68" i="13"/>
  <c r="C69" i="13"/>
  <c r="D69" i="13" s="1"/>
  <c r="G69" i="13" s="1"/>
  <c r="A70" i="13"/>
  <c r="B69" i="13"/>
  <c r="F69" i="13" s="1"/>
  <c r="V92" i="12"/>
  <c r="S104" i="12"/>
  <c r="S106" i="12"/>
  <c r="T107" i="12"/>
  <c r="S108" i="12"/>
  <c r="T110" i="12"/>
  <c r="T112" i="12"/>
  <c r="S88" i="12"/>
  <c r="S91" i="12"/>
  <c r="T95" i="12"/>
  <c r="T99" i="12"/>
  <c r="S61" i="12"/>
  <c r="T75" i="12"/>
  <c r="S25" i="12"/>
  <c r="T26" i="12"/>
  <c r="S68" i="12"/>
  <c r="S34" i="12"/>
  <c r="S36" i="12"/>
  <c r="T39" i="12"/>
  <c r="T43" i="12"/>
  <c r="T47" i="12"/>
  <c r="T51" i="12"/>
  <c r="T55" i="12"/>
  <c r="S59" i="12"/>
  <c r="S47" i="12"/>
  <c r="S51" i="12"/>
  <c r="S55" i="12"/>
  <c r="T59" i="12"/>
  <c r="S98" i="12"/>
  <c r="S75" i="12"/>
  <c r="T69" i="12"/>
  <c r="T46" i="12"/>
  <c r="T108" i="12"/>
  <c r="T86" i="12"/>
  <c r="T98" i="12"/>
  <c r="S63" i="12"/>
  <c r="S69" i="12"/>
  <c r="T42" i="12"/>
  <c r="S58" i="12"/>
  <c r="S103" i="12"/>
  <c r="S81" i="12"/>
  <c r="S110" i="12"/>
  <c r="T85" i="12"/>
  <c r="T87" i="12"/>
  <c r="T91" i="12"/>
  <c r="S95" i="12"/>
  <c r="S99" i="12"/>
  <c r="T61" i="12"/>
  <c r="T63" i="12"/>
  <c r="S29" i="12"/>
  <c r="S27" i="12"/>
  <c r="T32" i="12"/>
  <c r="T70" i="12"/>
  <c r="T72" i="12"/>
  <c r="S39" i="12"/>
  <c r="S43" i="12"/>
  <c r="S76" i="12"/>
  <c r="S114" i="12"/>
  <c r="T104" i="12"/>
  <c r="T105" i="12"/>
  <c r="T83" i="12"/>
  <c r="S85" i="12"/>
  <c r="S87" i="12"/>
  <c r="T92" i="12"/>
  <c r="T96" i="12"/>
  <c r="S100" i="12"/>
  <c r="S73" i="12"/>
  <c r="S64" i="12"/>
  <c r="T25" i="12"/>
  <c r="S30" i="12"/>
  <c r="S32" i="12"/>
  <c r="S70" i="12"/>
  <c r="S72" i="12"/>
  <c r="T40" i="12"/>
  <c r="T44" i="12"/>
  <c r="T48" i="12"/>
  <c r="T52" i="12"/>
  <c r="T56" i="12"/>
  <c r="S60" i="12"/>
  <c r="S56" i="12"/>
  <c r="S80" i="12"/>
  <c r="T90" i="12"/>
  <c r="T29" i="12"/>
  <c r="S42" i="12"/>
  <c r="S77" i="12"/>
  <c r="T84" i="12"/>
  <c r="S89" i="12"/>
  <c r="S62" i="12"/>
  <c r="T28" i="12"/>
  <c r="T35" i="12"/>
  <c r="S46" i="12"/>
  <c r="T102" i="12"/>
  <c r="S105" i="12"/>
  <c r="T106" i="12"/>
  <c r="T109" i="12"/>
  <c r="S83" i="12"/>
  <c r="S112" i="12"/>
  <c r="T88" i="12"/>
  <c r="S92" i="12"/>
  <c r="S96" i="12"/>
  <c r="S101" i="12"/>
  <c r="T73" i="12"/>
  <c r="T64" i="12"/>
  <c r="S28" i="12"/>
  <c r="S26" i="12"/>
  <c r="T68" i="12"/>
  <c r="T34" i="12"/>
  <c r="T36" i="12"/>
  <c r="S40" i="12"/>
  <c r="S44" i="12"/>
  <c r="S48" i="12"/>
  <c r="S52" i="12"/>
  <c r="T60" i="12"/>
  <c r="T77" i="12"/>
  <c r="S111" i="12"/>
  <c r="T62" i="12"/>
  <c r="S71" i="12"/>
  <c r="T58" i="12"/>
  <c r="S107" i="12"/>
  <c r="S67" i="12"/>
  <c r="T50" i="12"/>
  <c r="T76" i="12"/>
  <c r="T79" i="12"/>
  <c r="T82" i="12"/>
  <c r="T111" i="12"/>
  <c r="T113" i="12"/>
  <c r="T89" i="12"/>
  <c r="T93" i="12"/>
  <c r="S97" i="12"/>
  <c r="T100" i="12"/>
  <c r="T74" i="12"/>
  <c r="T65" i="12"/>
  <c r="T30" i="12"/>
  <c r="T31" i="12"/>
  <c r="S33" i="12"/>
  <c r="S35" i="12"/>
  <c r="T37" i="12"/>
  <c r="S41" i="12"/>
  <c r="S45" i="12"/>
  <c r="S49" i="12"/>
  <c r="S53" i="12"/>
  <c r="T57" i="12"/>
  <c r="T81" i="12"/>
  <c r="S94" i="12"/>
  <c r="S66" i="12"/>
  <c r="T38" i="12"/>
  <c r="T54" i="12"/>
  <c r="S102" i="12"/>
  <c r="T114" i="12"/>
  <c r="S78" i="12"/>
  <c r="S79" i="12"/>
  <c r="T80" i="12"/>
  <c r="S82" i="12"/>
  <c r="S84" i="12"/>
  <c r="S86" i="12"/>
  <c r="S90" i="12"/>
  <c r="S93" i="12"/>
  <c r="T97" i="12"/>
  <c r="T101" i="12"/>
  <c r="S74" i="12"/>
  <c r="S65" i="12"/>
  <c r="T66" i="12"/>
  <c r="S31" i="12"/>
  <c r="T33" i="12"/>
  <c r="T71" i="12"/>
  <c r="S37" i="12"/>
  <c r="T41" i="12"/>
  <c r="T45" i="12"/>
  <c r="T49" i="12"/>
  <c r="T53" i="12"/>
  <c r="S57" i="12"/>
  <c r="T78" i="12"/>
  <c r="S113" i="12"/>
  <c r="T67" i="12"/>
  <c r="S50" i="12"/>
  <c r="T103" i="12"/>
  <c r="S109" i="12"/>
  <c r="T94" i="12"/>
  <c r="T27" i="12"/>
  <c r="S38" i="12"/>
  <c r="S54" i="12"/>
  <c r="S115" i="12"/>
  <c r="T115" i="12"/>
  <c r="T116" i="12"/>
  <c r="S116" i="12"/>
  <c r="S117" i="12"/>
  <c r="T117" i="12"/>
  <c r="S118" i="12"/>
  <c r="T118" i="12"/>
  <c r="S119" i="12"/>
  <c r="T119" i="12"/>
  <c r="T120" i="12"/>
  <c r="S120" i="12"/>
  <c r="S121" i="12"/>
  <c r="T121" i="12"/>
  <c r="S122" i="12"/>
  <c r="T122" i="12"/>
  <c r="S123" i="12"/>
  <c r="T123" i="12"/>
  <c r="S124" i="12"/>
  <c r="T124" i="12"/>
  <c r="T125" i="12"/>
  <c r="P91" i="12" l="1"/>
  <c r="P75" i="12"/>
  <c r="P85" i="12"/>
  <c r="P42" i="12"/>
  <c r="P38" i="12"/>
  <c r="P33" i="12"/>
  <c r="P46" i="12"/>
  <c r="P34" i="12"/>
  <c r="P48" i="12"/>
  <c r="P92" i="12"/>
  <c r="P70" i="12"/>
  <c r="P84" i="12"/>
  <c r="P71" i="12"/>
  <c r="P62" i="12"/>
  <c r="P95" i="12"/>
  <c r="P69" i="12"/>
  <c r="P96" i="12"/>
  <c r="P87" i="12"/>
  <c r="P41" i="12"/>
  <c r="P47" i="12"/>
  <c r="P76" i="12"/>
  <c r="P94" i="12"/>
  <c r="P63" i="12"/>
  <c r="P79" i="12"/>
  <c r="P45" i="12"/>
  <c r="P77" i="12"/>
  <c r="P83" i="12"/>
  <c r="P86" i="12"/>
  <c r="P64" i="12"/>
  <c r="P31" i="12"/>
  <c r="P93" i="12"/>
  <c r="P97" i="12"/>
  <c r="P29" i="12"/>
  <c r="P90" i="12"/>
  <c r="P40" i="12"/>
  <c r="P81" i="12"/>
  <c r="P49" i="12"/>
  <c r="P30" i="12"/>
  <c r="P74" i="12"/>
  <c r="P25" i="12"/>
  <c r="P82" i="12"/>
  <c r="P89" i="12"/>
  <c r="P65" i="12"/>
  <c r="P88" i="12"/>
  <c r="P35" i="12"/>
  <c r="P39" i="12"/>
  <c r="P72" i="12"/>
  <c r="P73" i="12"/>
  <c r="Q25" i="12"/>
  <c r="P26" i="12"/>
  <c r="P36" i="12"/>
  <c r="P68" i="12"/>
  <c r="P32" i="12"/>
  <c r="P66" i="12"/>
  <c r="P61" i="12"/>
  <c r="P28" i="12"/>
  <c r="P37" i="12"/>
  <c r="P80" i="12"/>
  <c r="P27" i="12"/>
  <c r="P43" i="12"/>
  <c r="P78" i="12"/>
  <c r="P98" i="12"/>
  <c r="P67" i="12"/>
  <c r="P44" i="12"/>
  <c r="P100" i="12"/>
  <c r="P99" i="12"/>
  <c r="P101" i="12"/>
  <c r="P102" i="12"/>
  <c r="P50" i="12"/>
  <c r="P51" i="12"/>
  <c r="P103" i="12"/>
  <c r="P52" i="12"/>
  <c r="P53" i="12"/>
  <c r="P104" i="12"/>
  <c r="P105" i="12"/>
  <c r="P54" i="12"/>
  <c r="P55" i="12"/>
  <c r="P106" i="12"/>
  <c r="P107" i="12"/>
  <c r="P56" i="12"/>
  <c r="P108" i="12"/>
  <c r="P57" i="12"/>
  <c r="P58" i="12"/>
  <c r="P109" i="12"/>
  <c r="P110" i="12"/>
  <c r="P59" i="12"/>
  <c r="P60" i="12"/>
  <c r="P111" i="12"/>
  <c r="P112" i="12"/>
  <c r="P113" i="12"/>
  <c r="P114" i="12"/>
  <c r="P115" i="12"/>
  <c r="P116" i="12"/>
  <c r="P117" i="12"/>
  <c r="P118" i="12"/>
  <c r="P119" i="12"/>
  <c r="P120" i="12"/>
  <c r="P121" i="12"/>
  <c r="P122" i="12"/>
  <c r="P123" i="12"/>
  <c r="P124" i="12"/>
  <c r="P125" i="12"/>
  <c r="H69" i="13"/>
  <c r="I68" i="13"/>
  <c r="E69" i="13"/>
  <c r="A71" i="13"/>
  <c r="C70" i="13"/>
  <c r="D70" i="13" s="1"/>
  <c r="G70" i="13" s="1"/>
  <c r="B70" i="13"/>
  <c r="F70" i="13" s="1"/>
  <c r="R98" i="12"/>
  <c r="R81" i="12"/>
  <c r="Q79" i="12"/>
  <c r="R109" i="12"/>
  <c r="Q104" i="12"/>
  <c r="Q93" i="12"/>
  <c r="Q84" i="12"/>
  <c r="R93" i="12"/>
  <c r="R78" i="12"/>
  <c r="R80" i="12"/>
  <c r="R99" i="12"/>
  <c r="R88" i="12"/>
  <c r="Q111" i="12"/>
  <c r="R77" i="12"/>
  <c r="Q110" i="12"/>
  <c r="R112" i="12"/>
  <c r="Q92" i="12"/>
  <c r="R101" i="12"/>
  <c r="Q109" i="12"/>
  <c r="Q88" i="12"/>
  <c r="R84" i="12"/>
  <c r="Q80" i="12"/>
  <c r="R82" i="12"/>
  <c r="Q113" i="12"/>
  <c r="R86" i="12"/>
  <c r="Q98" i="12"/>
  <c r="Q101" i="12"/>
  <c r="R96" i="12"/>
  <c r="Q108" i="12"/>
  <c r="Q89" i="12"/>
  <c r="R76" i="12"/>
  <c r="Q102" i="12"/>
  <c r="R108" i="12"/>
  <c r="R103" i="12"/>
  <c r="Q77" i="12"/>
  <c r="R110" i="12"/>
  <c r="R113" i="12"/>
  <c r="Q83" i="12"/>
  <c r="Q107" i="12"/>
  <c r="Q90" i="12"/>
  <c r="R79" i="12"/>
  <c r="R90" i="12"/>
  <c r="R111" i="12"/>
  <c r="Q76" i="12"/>
  <c r="R94" i="12"/>
  <c r="R85" i="12"/>
  <c r="Q112" i="12"/>
  <c r="Q96" i="12"/>
  <c r="Q97" i="12"/>
  <c r="Q103" i="12"/>
  <c r="Q105" i="12"/>
  <c r="R95" i="12"/>
  <c r="R100" i="12"/>
  <c r="Q78" i="12"/>
  <c r="R97" i="12"/>
  <c r="Q82" i="12"/>
  <c r="Q99" i="12"/>
  <c r="Q94" i="12"/>
  <c r="R91" i="12"/>
  <c r="R102" i="12"/>
  <c r="Q95" i="12"/>
  <c r="R104" i="12"/>
  <c r="Q86" i="12"/>
  <c r="R83" i="12"/>
  <c r="Q106" i="12"/>
  <c r="R107" i="12"/>
  <c r="Q81" i="12"/>
  <c r="Q87" i="12"/>
  <c r="Q85" i="12"/>
  <c r="R89" i="12"/>
  <c r="R87" i="12"/>
  <c r="Q100" i="12"/>
  <c r="R105" i="12"/>
  <c r="R92" i="12"/>
  <c r="Q91" i="12"/>
  <c r="R106" i="12"/>
  <c r="Q62" i="12"/>
  <c r="R64" i="12"/>
  <c r="R68" i="12"/>
  <c r="Q72" i="12"/>
  <c r="R27" i="12"/>
  <c r="R42" i="12"/>
  <c r="R28" i="12"/>
  <c r="R56" i="12"/>
  <c r="Q47" i="12"/>
  <c r="Q30" i="12"/>
  <c r="Q36" i="12"/>
  <c r="Q32" i="12"/>
  <c r="Q65" i="12"/>
  <c r="R69" i="12"/>
  <c r="R41" i="12"/>
  <c r="R32" i="12"/>
  <c r="R36" i="12"/>
  <c r="Q31" i="12"/>
  <c r="Q40" i="12"/>
  <c r="Q29" i="12"/>
  <c r="Q27" i="12"/>
  <c r="Q38" i="12"/>
  <c r="R70" i="12"/>
  <c r="R33" i="12"/>
  <c r="Q56" i="12"/>
  <c r="Q55" i="12"/>
  <c r="Q50" i="12"/>
  <c r="R53" i="12"/>
  <c r="Q42" i="12"/>
  <c r="Q68" i="12"/>
  <c r="R31" i="12"/>
  <c r="Q37" i="12"/>
  <c r="R74" i="12"/>
  <c r="R48" i="12"/>
  <c r="R57" i="12"/>
  <c r="Q39" i="12"/>
  <c r="R75" i="12"/>
  <c r="R51" i="12"/>
  <c r="Q51" i="12"/>
  <c r="R38" i="12"/>
  <c r="Q45" i="12"/>
  <c r="R62" i="12"/>
  <c r="R55" i="12"/>
  <c r="R37" i="12"/>
  <c r="Q74" i="12"/>
  <c r="R65" i="12"/>
  <c r="Q69" i="12"/>
  <c r="R25" i="12"/>
  <c r="R34" i="12"/>
  <c r="R35" i="12"/>
  <c r="R50" i="12"/>
  <c r="R58" i="12"/>
  <c r="Q57" i="12"/>
  <c r="Q58" i="12"/>
  <c r="R59" i="12"/>
  <c r="Q59" i="12"/>
  <c r="Q43" i="12"/>
  <c r="Q54" i="12"/>
  <c r="R72" i="12"/>
  <c r="R60" i="12"/>
  <c r="Q73" i="12"/>
  <c r="R66" i="12"/>
  <c r="R45" i="12"/>
  <c r="Q48" i="12"/>
  <c r="Q35" i="12"/>
  <c r="Q64" i="12"/>
  <c r="R29" i="12"/>
  <c r="Q28" i="12"/>
  <c r="R73" i="12"/>
  <c r="Q75" i="12"/>
  <c r="Q66" i="12"/>
  <c r="Q70" i="12"/>
  <c r="R47" i="12"/>
  <c r="R26" i="12"/>
  <c r="R40" i="12"/>
  <c r="R52" i="12"/>
  <c r="Q60" i="12"/>
  <c r="Q46" i="12"/>
  <c r="R49" i="12"/>
  <c r="R61" i="12"/>
  <c r="R63" i="12"/>
  <c r="Q67" i="12"/>
  <c r="R71" i="12"/>
  <c r="R39" i="12"/>
  <c r="Q33" i="12"/>
  <c r="R44" i="12"/>
  <c r="Q41" i="12"/>
  <c r="Q61" i="12"/>
  <c r="Q63" i="12"/>
  <c r="R67" i="12"/>
  <c r="Q71" i="12"/>
  <c r="R30" i="12"/>
  <c r="R43" i="12"/>
  <c r="R46" i="12"/>
  <c r="R54" i="12"/>
  <c r="Q49" i="12"/>
  <c r="Q53" i="12"/>
  <c r="Q52" i="12"/>
  <c r="Q26" i="12"/>
  <c r="Q34" i="12"/>
  <c r="Q44" i="12"/>
  <c r="Q114" i="12"/>
  <c r="R114" i="12"/>
  <c r="R115" i="12"/>
  <c r="R116" i="12"/>
  <c r="Q115" i="12"/>
  <c r="Q116" i="12"/>
  <c r="R117" i="12"/>
  <c r="Q117" i="12"/>
  <c r="Q118" i="12"/>
  <c r="R118" i="12"/>
  <c r="Q120" i="12"/>
  <c r="R119" i="12"/>
  <c r="R120" i="12"/>
  <c r="Q119" i="12"/>
  <c r="R121" i="12"/>
  <c r="Q121" i="12"/>
  <c r="R123" i="12"/>
  <c r="Q122" i="12"/>
  <c r="Q123" i="12"/>
  <c r="R122" i="12"/>
  <c r="Q124" i="12"/>
  <c r="R124" i="12"/>
  <c r="Q125" i="12"/>
  <c r="R125" i="12"/>
  <c r="I69" i="13" l="1"/>
  <c r="V96" i="12"/>
  <c r="H70" i="13"/>
  <c r="E70" i="13"/>
  <c r="A72" i="13"/>
  <c r="C71" i="13"/>
  <c r="D71" i="13" s="1"/>
  <c r="G71" i="13" s="1"/>
  <c r="B71" i="13"/>
  <c r="F71" i="13" s="1"/>
  <c r="V95" i="12"/>
  <c r="V94" i="12"/>
  <c r="H71" i="13" l="1"/>
  <c r="I70" i="13"/>
  <c r="C72" i="13"/>
  <c r="D72" i="13" s="1"/>
  <c r="G72" i="13" s="1"/>
  <c r="A73" i="13"/>
  <c r="B72" i="13"/>
  <c r="F72" i="13" s="1"/>
  <c r="E71" i="13"/>
  <c r="H72" i="13" l="1"/>
  <c r="I71" i="13"/>
  <c r="E72" i="13"/>
  <c r="C73" i="13"/>
  <c r="D73" i="13" s="1"/>
  <c r="G73" i="13" s="1"/>
  <c r="A74" i="13"/>
  <c r="B73" i="13"/>
  <c r="F73" i="13" s="1"/>
  <c r="H73" i="13" l="1"/>
  <c r="I72" i="13"/>
  <c r="E73" i="13"/>
  <c r="C74" i="13"/>
  <c r="D74" i="13" s="1"/>
  <c r="G74" i="13" s="1"/>
  <c r="A75" i="13"/>
  <c r="B74" i="13"/>
  <c r="F74" i="13" s="1"/>
  <c r="H74" i="13" l="1"/>
  <c r="I73" i="13"/>
  <c r="E74" i="13"/>
  <c r="A76" i="13"/>
  <c r="C75" i="13"/>
  <c r="D75" i="13" s="1"/>
  <c r="G75" i="13" s="1"/>
  <c r="B75" i="13"/>
  <c r="F75" i="13" s="1"/>
  <c r="H75" i="13" l="1"/>
  <c r="I74" i="13"/>
  <c r="E75" i="13"/>
  <c r="A77" i="13"/>
  <c r="C76" i="13"/>
  <c r="D76" i="13" s="1"/>
  <c r="G76" i="13" s="1"/>
  <c r="B76" i="13"/>
  <c r="F76" i="13" s="1"/>
  <c r="H76" i="13" l="1"/>
  <c r="I75" i="13"/>
  <c r="E76" i="13"/>
  <c r="C77" i="13"/>
  <c r="D77" i="13" s="1"/>
  <c r="G77" i="13" s="1"/>
  <c r="A78" i="13"/>
  <c r="B77" i="13"/>
  <c r="F77" i="13" s="1"/>
  <c r="I76" i="13" l="1"/>
  <c r="H77" i="13"/>
  <c r="E77" i="13"/>
  <c r="C78" i="13"/>
  <c r="D78" i="13" s="1"/>
  <c r="G78" i="13" s="1"/>
  <c r="A79" i="13"/>
  <c r="B78" i="13"/>
  <c r="F78" i="13" s="1"/>
  <c r="I77" i="13" l="1"/>
  <c r="H78" i="13"/>
  <c r="E78" i="13"/>
  <c r="A80" i="13"/>
  <c r="C79" i="13"/>
  <c r="D79" i="13" s="1"/>
  <c r="G79" i="13" s="1"/>
  <c r="B79" i="13"/>
  <c r="F79" i="13" s="1"/>
  <c r="H79" i="13" l="1"/>
  <c r="I78" i="13"/>
  <c r="C80" i="13"/>
  <c r="D80" i="13" s="1"/>
  <c r="G80" i="13" s="1"/>
  <c r="A81" i="13"/>
  <c r="B80" i="13"/>
  <c r="F80" i="13" s="1"/>
  <c r="E79" i="13"/>
  <c r="H80" i="13" l="1"/>
  <c r="I79" i="13"/>
  <c r="E80" i="13"/>
  <c r="C81" i="13"/>
  <c r="D81" i="13" s="1"/>
  <c r="G81" i="13" s="1"/>
  <c r="A82" i="13"/>
  <c r="B81" i="13"/>
  <c r="F81" i="13" s="1"/>
  <c r="H81" i="13" l="1"/>
  <c r="I80" i="13"/>
  <c r="C82" i="13"/>
  <c r="D82" i="13" s="1"/>
  <c r="G82" i="13" s="1"/>
  <c r="A83" i="13"/>
  <c r="B82" i="13"/>
  <c r="F82" i="13" s="1"/>
  <c r="E81" i="13"/>
  <c r="H82" i="13" l="1"/>
  <c r="I81" i="13"/>
  <c r="E82" i="13"/>
  <c r="A84" i="13"/>
  <c r="C83" i="13"/>
  <c r="D83" i="13" s="1"/>
  <c r="G83" i="13" s="1"/>
  <c r="B83" i="13"/>
  <c r="F83" i="13" s="1"/>
  <c r="H83" i="13" l="1"/>
  <c r="I82" i="13"/>
  <c r="E83" i="13"/>
  <c r="A85" i="13"/>
  <c r="C84" i="13"/>
  <c r="D84" i="13" s="1"/>
  <c r="G84" i="13" s="1"/>
  <c r="B84" i="13"/>
  <c r="F84" i="13" s="1"/>
  <c r="H84" i="13" l="1"/>
  <c r="I83" i="13"/>
  <c r="E84" i="13"/>
  <c r="A86" i="13"/>
  <c r="C85" i="13"/>
  <c r="D85" i="13" s="1"/>
  <c r="G85" i="13" s="1"/>
  <c r="B85" i="13"/>
  <c r="F85" i="13" s="1"/>
  <c r="H85" i="13" l="1"/>
  <c r="I84" i="13"/>
  <c r="E85" i="13"/>
  <c r="C86" i="13"/>
  <c r="D86" i="13" s="1"/>
  <c r="G86" i="13" s="1"/>
  <c r="A87" i="13"/>
  <c r="B86" i="13"/>
  <c r="F86" i="13" s="1"/>
  <c r="H86" i="13" l="1"/>
  <c r="I85" i="13"/>
  <c r="E86" i="13"/>
  <c r="A88" i="13"/>
  <c r="C87" i="13"/>
  <c r="D87" i="13" s="1"/>
  <c r="G87" i="13" s="1"/>
  <c r="B87" i="13"/>
  <c r="F87" i="13" s="1"/>
  <c r="H87" i="13" l="1"/>
  <c r="I86" i="13"/>
  <c r="E87" i="13"/>
  <c r="A89" i="13"/>
  <c r="C88" i="13"/>
  <c r="D88" i="13" s="1"/>
  <c r="G88" i="13" s="1"/>
  <c r="B88" i="13"/>
  <c r="F88" i="13" s="1"/>
  <c r="H88" i="13" l="1"/>
  <c r="I87" i="13"/>
  <c r="E88" i="13"/>
  <c r="A90" i="13"/>
  <c r="C89" i="13"/>
  <c r="D89" i="13" s="1"/>
  <c r="G89" i="13" s="1"/>
  <c r="B89" i="13"/>
  <c r="F89" i="13" s="1"/>
  <c r="I88" i="13" l="1"/>
  <c r="H89" i="13"/>
  <c r="C90" i="13"/>
  <c r="D90" i="13" s="1"/>
  <c r="G90" i="13" s="1"/>
  <c r="A91" i="13"/>
  <c r="B90" i="13"/>
  <c r="F90" i="13" s="1"/>
  <c r="E89" i="13"/>
  <c r="H90" i="13" l="1"/>
  <c r="I89" i="13"/>
  <c r="E90" i="13"/>
  <c r="A92" i="13"/>
  <c r="C91" i="13"/>
  <c r="D91" i="13" s="1"/>
  <c r="G91" i="13" s="1"/>
  <c r="B91" i="13"/>
  <c r="F91" i="13" s="1"/>
  <c r="I90" i="13" l="1"/>
  <c r="H91" i="13"/>
  <c r="E91" i="13"/>
  <c r="C92" i="13"/>
  <c r="D92" i="13" s="1"/>
  <c r="G92" i="13" s="1"/>
  <c r="A93" i="13"/>
  <c r="B92" i="13"/>
  <c r="F92" i="13" s="1"/>
  <c r="H92" i="13" l="1"/>
  <c r="I91" i="13"/>
  <c r="E92" i="13"/>
  <c r="A94" i="13"/>
  <c r="C93" i="13"/>
  <c r="D93" i="13" s="1"/>
  <c r="G93" i="13" s="1"/>
  <c r="B93" i="13"/>
  <c r="F93" i="13" s="1"/>
  <c r="H93" i="13" l="1"/>
  <c r="I92" i="13"/>
  <c r="E93" i="13"/>
  <c r="C94" i="13"/>
  <c r="D94" i="13" s="1"/>
  <c r="G94" i="13" s="1"/>
  <c r="A95" i="13"/>
  <c r="B94" i="13"/>
  <c r="F94" i="13" s="1"/>
  <c r="H94" i="13" l="1"/>
  <c r="I93" i="13"/>
  <c r="E94" i="13"/>
  <c r="C95" i="13"/>
  <c r="D95" i="13" s="1"/>
  <c r="G95" i="13" s="1"/>
  <c r="A96" i="13"/>
  <c r="B95" i="13"/>
  <c r="F95" i="13" s="1"/>
  <c r="H95" i="13" l="1"/>
  <c r="I94" i="13"/>
  <c r="A97" i="13"/>
  <c r="C96" i="13"/>
  <c r="D96" i="13" s="1"/>
  <c r="G96" i="13" s="1"/>
  <c r="B96" i="13"/>
  <c r="F96" i="13" s="1"/>
  <c r="E95" i="13"/>
  <c r="I95" i="13" l="1"/>
  <c r="H96" i="13"/>
  <c r="E96" i="13"/>
  <c r="A98" i="13"/>
  <c r="C97" i="13"/>
  <c r="D97" i="13" s="1"/>
  <c r="G97" i="13" s="1"/>
  <c r="B97" i="13"/>
  <c r="F97" i="13" s="1"/>
  <c r="I96" i="13" l="1"/>
  <c r="H97" i="13"/>
  <c r="E97" i="13"/>
  <c r="A99" i="13"/>
  <c r="C98" i="13"/>
  <c r="D98" i="13" s="1"/>
  <c r="G98" i="13" s="1"/>
  <c r="B98" i="13"/>
  <c r="F98" i="13" s="1"/>
  <c r="H98" i="13" l="1"/>
  <c r="I97" i="13"/>
  <c r="E98" i="13"/>
  <c r="A100" i="13"/>
  <c r="C99" i="13"/>
  <c r="D99" i="13" s="1"/>
  <c r="G99" i="13" s="1"/>
  <c r="B99" i="13"/>
  <c r="F99" i="13" s="1"/>
  <c r="H99" i="13" l="1"/>
  <c r="I98" i="13"/>
  <c r="E99" i="13"/>
  <c r="C100" i="13"/>
  <c r="D100" i="13" s="1"/>
  <c r="G100" i="13" s="1"/>
  <c r="A101" i="13"/>
  <c r="B100" i="13"/>
  <c r="F100" i="13" s="1"/>
  <c r="H100" i="13" l="1"/>
  <c r="I99" i="13"/>
  <c r="A102" i="13"/>
  <c r="C101" i="13"/>
  <c r="D101" i="13" s="1"/>
  <c r="G101" i="13" s="1"/>
  <c r="B101" i="13"/>
  <c r="F101" i="13" s="1"/>
  <c r="E100" i="13"/>
  <c r="H101" i="13" l="1"/>
  <c r="I100" i="13"/>
  <c r="E101" i="13"/>
  <c r="C102" i="13"/>
  <c r="D102" i="13" s="1"/>
  <c r="G102" i="13" s="1"/>
  <c r="A103" i="13"/>
  <c r="B102" i="13"/>
  <c r="F102" i="13" s="1"/>
  <c r="I101" i="13" l="1"/>
  <c r="H102" i="13"/>
  <c r="E102" i="13"/>
  <c r="C103" i="13"/>
  <c r="D103" i="13" s="1"/>
  <c r="G103" i="13" s="1"/>
  <c r="A104" i="13"/>
  <c r="B103" i="13"/>
  <c r="F103" i="13" s="1"/>
  <c r="I102" i="13" l="1"/>
  <c r="H103" i="13"/>
  <c r="E103" i="13"/>
  <c r="A105" i="13"/>
  <c r="C104" i="13"/>
  <c r="D104" i="13" s="1"/>
  <c r="G104" i="13" s="1"/>
  <c r="B104" i="13"/>
  <c r="F104" i="13" s="1"/>
  <c r="H104" i="13" l="1"/>
  <c r="I103" i="13"/>
  <c r="E104" i="13"/>
  <c r="A106" i="13"/>
  <c r="C105" i="13"/>
  <c r="D105" i="13" s="1"/>
  <c r="G105" i="13" s="1"/>
  <c r="B105" i="13"/>
  <c r="F105" i="13" s="1"/>
  <c r="H105" i="13" l="1"/>
  <c r="I104" i="13"/>
  <c r="E105" i="13"/>
  <c r="C106" i="13"/>
  <c r="D106" i="13" s="1"/>
  <c r="G106" i="13" s="1"/>
  <c r="A107" i="13"/>
  <c r="B106" i="13"/>
  <c r="F106" i="13" s="1"/>
  <c r="H106" i="13" l="1"/>
  <c r="I105" i="13"/>
  <c r="E106" i="13"/>
  <c r="A108" i="13"/>
  <c r="C107" i="13"/>
  <c r="D107" i="13" s="1"/>
  <c r="G107" i="13" s="1"/>
  <c r="B107" i="13"/>
  <c r="F107" i="13" s="1"/>
  <c r="H107" i="13" l="1"/>
  <c r="I106" i="13"/>
  <c r="E107" i="13"/>
  <c r="A109" i="13"/>
  <c r="C108" i="13"/>
  <c r="D108" i="13" s="1"/>
  <c r="G108" i="13" s="1"/>
  <c r="B108" i="13"/>
  <c r="F108" i="13" s="1"/>
  <c r="H108" i="13" l="1"/>
  <c r="I107" i="13"/>
  <c r="C109" i="13"/>
  <c r="D109" i="13" s="1"/>
  <c r="G109" i="13" s="1"/>
  <c r="A110" i="13"/>
  <c r="B109" i="13"/>
  <c r="F109" i="13" s="1"/>
  <c r="E108" i="13"/>
  <c r="I108" i="13" l="1"/>
  <c r="H109" i="13"/>
  <c r="E109" i="13"/>
  <c r="C110" i="13"/>
  <c r="D110" i="13" s="1"/>
  <c r="G110" i="13" s="1"/>
  <c r="A111" i="13"/>
  <c r="B110" i="13"/>
  <c r="F110" i="13" s="1"/>
  <c r="H110" i="13" l="1"/>
  <c r="I109" i="13"/>
  <c r="E110" i="13"/>
  <c r="C111" i="13"/>
  <c r="D111" i="13" s="1"/>
  <c r="G111" i="13" s="1"/>
  <c r="A112" i="13"/>
  <c r="B111" i="13"/>
  <c r="F111" i="13" s="1"/>
  <c r="H111" i="13" l="1"/>
  <c r="I110" i="13"/>
  <c r="E111" i="13"/>
  <c r="A113" i="13"/>
  <c r="C112" i="13"/>
  <c r="D112" i="13" s="1"/>
  <c r="G112" i="13" s="1"/>
  <c r="B112" i="13"/>
  <c r="F112" i="13" s="1"/>
  <c r="H112" i="13" l="1"/>
  <c r="I111" i="13"/>
  <c r="E112" i="13"/>
  <c r="A114" i="13"/>
  <c r="C113" i="13"/>
  <c r="D113" i="13" s="1"/>
  <c r="G113" i="13" s="1"/>
  <c r="B113" i="13"/>
  <c r="F113" i="13" s="1"/>
  <c r="H113" i="13" l="1"/>
  <c r="I112" i="13"/>
  <c r="E113" i="13"/>
  <c r="C114" i="13"/>
  <c r="D114" i="13" s="1"/>
  <c r="G114" i="13" s="1"/>
  <c r="B114" i="13"/>
  <c r="F114" i="13" s="1"/>
  <c r="H114" i="13" l="1"/>
  <c r="I113" i="13"/>
  <c r="E114" i="13"/>
  <c r="I114" i="13" l="1"/>
  <c r="L31" i="13"/>
  <c r="N37" i="13" l="1"/>
  <c r="N30" i="13"/>
  <c r="N29" i="13"/>
  <c r="N23" i="13"/>
  <c r="O31" i="13"/>
  <c r="O21" i="13"/>
  <c r="O28" i="13"/>
  <c r="O37" i="13"/>
  <c r="O30" i="13"/>
  <c r="O29" i="13"/>
  <c r="O23" i="13"/>
  <c r="O17" i="13"/>
  <c r="N35" i="13"/>
  <c r="N20" i="13"/>
  <c r="N14" i="13"/>
  <c r="O35" i="13"/>
  <c r="O20" i="13"/>
  <c r="N34" i="13"/>
  <c r="N32" i="13"/>
  <c r="O34" i="13"/>
  <c r="O33" i="13"/>
  <c r="O32" i="13"/>
  <c r="N17" i="13"/>
  <c r="N22" i="13"/>
  <c r="N38" i="13"/>
  <c r="N25" i="13"/>
  <c r="N36" i="13"/>
  <c r="N33" i="13"/>
  <c r="N19" i="13"/>
  <c r="N26" i="13"/>
  <c r="O25" i="13"/>
  <c r="O24" i="13"/>
  <c r="O14" i="13"/>
  <c r="O22" i="13"/>
  <c r="O38" i="13"/>
  <c r="O26" i="13"/>
  <c r="N24" i="13"/>
  <c r="O27" i="13"/>
  <c r="N15" i="13"/>
  <c r="O16" i="13"/>
  <c r="O18" i="13"/>
  <c r="O19" i="13"/>
  <c r="N27" i="13"/>
  <c r="O36" i="13"/>
  <c r="O15" i="13"/>
  <c r="N16" i="13"/>
  <c r="N18" i="13"/>
  <c r="N31" i="13"/>
  <c r="N21" i="13"/>
  <c r="N28" i="13"/>
  <c r="N40" i="13"/>
  <c r="O40" i="13"/>
  <c r="N39" i="13"/>
  <c r="O39" i="13"/>
  <c r="O41" i="13"/>
  <c r="N41" i="13"/>
  <c r="O42" i="13"/>
  <c r="N42" i="13"/>
  <c r="O43" i="13"/>
  <c r="N43" i="13"/>
  <c r="N44" i="13"/>
  <c r="O44" i="13"/>
  <c r="N46" i="13"/>
  <c r="O45" i="13"/>
  <c r="O46" i="13"/>
  <c r="N45" i="13"/>
  <c r="N47" i="13"/>
  <c r="O47" i="13"/>
  <c r="O48" i="13"/>
  <c r="N48" i="13"/>
  <c r="O49" i="13"/>
  <c r="N49" i="13"/>
  <c r="O50" i="13"/>
  <c r="N50" i="13"/>
  <c r="N51" i="13"/>
  <c r="O51" i="13"/>
  <c r="N52" i="13"/>
  <c r="O52" i="13"/>
  <c r="N53" i="13"/>
  <c r="O53" i="13"/>
  <c r="N54" i="13"/>
  <c r="O54" i="13"/>
  <c r="N55" i="13"/>
  <c r="O55" i="13"/>
  <c r="O56" i="13"/>
  <c r="N56" i="13"/>
  <c r="O57" i="13"/>
  <c r="N57" i="13"/>
  <c r="O58" i="13"/>
  <c r="N58" i="13"/>
  <c r="O59" i="13"/>
  <c r="N59" i="13"/>
  <c r="N60" i="13"/>
  <c r="O60" i="13"/>
  <c r="N61" i="13"/>
  <c r="O61" i="13"/>
  <c r="N62" i="13"/>
  <c r="O62" i="13"/>
  <c r="O64" i="13"/>
  <c r="N64" i="13"/>
  <c r="N63" i="13"/>
  <c r="O63" i="13"/>
  <c r="O65" i="13"/>
  <c r="N65" i="13"/>
  <c r="N66" i="13"/>
  <c r="O66" i="13"/>
  <c r="N67" i="13"/>
  <c r="O67" i="13"/>
  <c r="O68" i="13"/>
  <c r="N68" i="13"/>
  <c r="N69" i="13"/>
  <c r="O69" i="13"/>
  <c r="N70" i="13"/>
  <c r="O70" i="13"/>
  <c r="N71" i="13"/>
  <c r="O71" i="13"/>
  <c r="O72" i="13"/>
  <c r="N72" i="13"/>
  <c r="O73" i="13"/>
  <c r="N73" i="13"/>
  <c r="N75" i="13"/>
  <c r="O75" i="13"/>
  <c r="O74" i="13"/>
  <c r="N74" i="13"/>
  <c r="N76" i="13"/>
  <c r="O76" i="13"/>
  <c r="N77" i="13"/>
  <c r="O77" i="13"/>
  <c r="N78" i="13"/>
  <c r="O78" i="13"/>
  <c r="N79" i="13"/>
  <c r="O79" i="13"/>
  <c r="O80" i="13"/>
  <c r="N80" i="13"/>
  <c r="O81" i="13"/>
  <c r="N81" i="13"/>
  <c r="N82" i="13"/>
  <c r="O82" i="13"/>
  <c r="O83" i="13"/>
  <c r="N83" i="13"/>
  <c r="N84" i="13"/>
  <c r="O84" i="13"/>
  <c r="N85" i="13"/>
  <c r="O85" i="13"/>
  <c r="N86" i="13"/>
  <c r="O86" i="13"/>
  <c r="N87" i="13"/>
  <c r="O87" i="13"/>
  <c r="O88" i="13"/>
  <c r="N88" i="13"/>
  <c r="O89" i="13"/>
  <c r="N89" i="13"/>
  <c r="O90" i="13"/>
  <c r="N90" i="13"/>
  <c r="O91" i="13"/>
  <c r="N91" i="13"/>
  <c r="N92" i="13"/>
  <c r="O92" i="13"/>
  <c r="N93" i="13"/>
  <c r="O93" i="13"/>
  <c r="N94" i="13"/>
  <c r="O94" i="13"/>
  <c r="N96" i="13"/>
  <c r="N95" i="13"/>
  <c r="O95" i="13"/>
  <c r="O96" i="13"/>
  <c r="O98" i="13"/>
  <c r="O97" i="13"/>
  <c r="N97" i="13"/>
  <c r="N98" i="13"/>
  <c r="N99" i="13"/>
  <c r="O99" i="13"/>
  <c r="N100" i="13"/>
  <c r="O100" i="13"/>
  <c r="N101" i="13"/>
  <c r="O101" i="13"/>
  <c r="O102" i="13"/>
  <c r="N102" i="13"/>
  <c r="N103" i="13"/>
  <c r="O103" i="13"/>
  <c r="O104" i="13"/>
  <c r="N104" i="13"/>
  <c r="O105" i="13"/>
  <c r="N105" i="13"/>
  <c r="O106" i="13"/>
  <c r="N106" i="13"/>
  <c r="N107" i="13"/>
  <c r="O107" i="13"/>
  <c r="N108" i="13"/>
  <c r="O108" i="13"/>
  <c r="N109" i="13"/>
  <c r="O109" i="13"/>
  <c r="N110" i="13"/>
  <c r="O110" i="13"/>
  <c r="N111" i="13"/>
  <c r="O111" i="13"/>
  <c r="O113" i="13"/>
  <c r="N113" i="13"/>
  <c r="O112" i="13"/>
  <c r="N112" i="13"/>
  <c r="N114" i="13"/>
  <c r="O114" i="13"/>
  <c r="L32" i="13" l="1"/>
  <c r="L3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TT</author>
  </authors>
  <commentList>
    <comment ref="B6" authorId="0" shapeId="0" xr:uid="{00000000-0006-0000-0000-000001000000}">
      <text>
        <r>
          <rPr>
            <b/>
            <sz val="9"/>
            <color indexed="81"/>
            <rFont val="Tahoma"/>
            <family val="2"/>
          </rPr>
          <t>TT:</t>
        </r>
        <r>
          <rPr>
            <sz val="9"/>
            <color indexed="81"/>
            <rFont val="Tahoma"/>
            <family val="2"/>
          </rPr>
          <t xml:space="preserve">
insert values into shaded cells</t>
        </r>
      </text>
    </comment>
    <comment ref="C6" authorId="0" shapeId="0" xr:uid="{00000000-0006-0000-0000-000002000000}">
      <text>
        <r>
          <rPr>
            <b/>
            <sz val="9"/>
            <color indexed="81"/>
            <rFont val="Tahoma"/>
            <family val="2"/>
          </rPr>
          <t>TT:</t>
        </r>
        <r>
          <rPr>
            <sz val="9"/>
            <color indexed="81"/>
            <rFont val="Tahoma"/>
            <family val="2"/>
          </rPr>
          <t xml:space="preserve">
Values for Maize from Trout and DeJonge 2017.</t>
        </r>
      </text>
    </comment>
    <comment ref="O19" authorId="0" shapeId="0" xr:uid="{00000000-0006-0000-0000-000003000000}">
      <text>
        <r>
          <rPr>
            <b/>
            <sz val="9"/>
            <color indexed="81"/>
            <rFont val="Tahoma"/>
            <family val="2"/>
          </rPr>
          <t>TT:</t>
        </r>
        <r>
          <rPr>
            <sz val="9"/>
            <color indexed="81"/>
            <rFont val="Tahoma"/>
            <family val="2"/>
          </rPr>
          <t xml:space="preserve">
insert values into shaded cells</t>
        </r>
      </text>
    </comment>
    <comment ref="Q19" authorId="0" shapeId="0" xr:uid="{00000000-0006-0000-0000-000004000000}">
      <text>
        <r>
          <rPr>
            <b/>
            <sz val="9"/>
            <color indexed="81"/>
            <rFont val="Tahoma"/>
            <family val="2"/>
          </rPr>
          <t>TT:</t>
        </r>
        <r>
          <rPr>
            <sz val="9"/>
            <color indexed="81"/>
            <rFont val="Tahoma"/>
            <family val="2"/>
          </rPr>
          <t xml:space="preserve">
insert values into shaded cells</t>
        </r>
      </text>
    </comment>
    <comment ref="S19" authorId="0" shapeId="0" xr:uid="{00000000-0006-0000-0000-000005000000}">
      <text>
        <r>
          <rPr>
            <b/>
            <sz val="9"/>
            <color indexed="81"/>
            <rFont val="Tahoma"/>
            <family val="2"/>
          </rPr>
          <t>TT:</t>
        </r>
        <r>
          <rPr>
            <sz val="9"/>
            <color indexed="81"/>
            <rFont val="Tahoma"/>
            <family val="2"/>
          </rPr>
          <t xml:space="preserve">
insert values into shaded cells</t>
        </r>
      </text>
    </comment>
    <comment ref="A33" authorId="0" shapeId="0" xr:uid="{00000000-0006-0000-0000-000006000000}">
      <text>
        <r>
          <rPr>
            <b/>
            <sz val="9"/>
            <color indexed="81"/>
            <rFont val="Tahoma"/>
            <family val="2"/>
          </rPr>
          <t>TT:</t>
        </r>
        <r>
          <rPr>
            <sz val="9"/>
            <color indexed="81"/>
            <rFont val="Tahoma"/>
            <family val="2"/>
          </rPr>
          <t xml:space="preserve">
c value for a given x0 for which dY/dx=1 at x=1.  (WP always &lt;1 for larger x0.)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Trout, Thomas</author>
  </authors>
  <commentList>
    <comment ref="A71" authorId="0" shapeId="0" xr:uid="{6A87FDD2-4811-446E-A307-58949C627CC0}">
      <text>
        <r>
          <rPr>
            <b/>
            <sz val="9"/>
            <color indexed="81"/>
            <rFont val="Tahoma"/>
            <family val="2"/>
          </rPr>
          <t>Trout, Thomas:</t>
        </r>
        <r>
          <rPr>
            <sz val="9"/>
            <color indexed="81"/>
            <rFont val="Tahoma"/>
            <family val="2"/>
          </rPr>
          <t xml:space="preserve">
Insert relative ET under rainfed conditions.  This value is correct when the calculated Is = 0 (cell J70).</t>
        </r>
      </text>
    </comment>
    <comment ref="A72" authorId="0" shapeId="0" xr:uid="{D54E053D-EDF8-4157-98E4-9D1818B21356}">
      <text>
        <r>
          <rPr>
            <b/>
            <sz val="9"/>
            <color indexed="81"/>
            <rFont val="Tahoma"/>
            <family val="2"/>
          </rPr>
          <t>Trout, Thomas:</t>
        </r>
        <r>
          <rPr>
            <sz val="9"/>
            <color indexed="81"/>
            <rFont val="Tahoma"/>
            <family val="2"/>
          </rPr>
          <t xml:space="preserve">
Relative ET at intermediate point, I2, two-thirds the way between Rainfed ET and 1.0</t>
        </r>
      </text>
    </comment>
    <comment ref="A77" authorId="0" shapeId="0" xr:uid="{639F3585-48ED-4907-BA4C-AD3D3C92F554}">
      <text>
        <r>
          <rPr>
            <b/>
            <sz val="9"/>
            <color indexed="81"/>
            <rFont val="Tahoma"/>
            <family val="2"/>
          </rPr>
          <t>Trout, Thomas:</t>
        </r>
        <r>
          <rPr>
            <sz val="9"/>
            <color indexed="81"/>
            <rFont val="Tahoma"/>
            <family val="2"/>
          </rPr>
          <t xml:space="preserve">
Rainfed relative ET =  Effective precipitation and SW storage relative to ETm</t>
        </r>
      </text>
    </comment>
    <comment ref="A78" authorId="0" shapeId="0" xr:uid="{4642D658-6C12-4009-AF5E-515E3F1EAADF}">
      <text>
        <r>
          <rPr>
            <b/>
            <sz val="9"/>
            <color indexed="81"/>
            <rFont val="Tahoma"/>
            <family val="2"/>
          </rPr>
          <t>Trout, Thomas:</t>
        </r>
        <r>
          <rPr>
            <sz val="9"/>
            <color indexed="81"/>
            <rFont val="Tahoma"/>
            <family val="2"/>
          </rPr>
          <t xml:space="preserve">
full irrigation requirement at full ET = ET-Re-Se = (ETm - Er*R-Es-S)/Ei</t>
        </r>
      </text>
    </comment>
    <comment ref="A79" authorId="0" shapeId="0" xr:uid="{214618CB-5561-4E88-A4AE-181FEB68A4A2}">
      <text>
        <r>
          <rPr>
            <b/>
            <sz val="9"/>
            <color indexed="81"/>
            <rFont val="Tahoma"/>
            <family val="2"/>
          </rPr>
          <t>Trout, Thomas:</t>
        </r>
        <r>
          <rPr>
            <sz val="9"/>
            <color indexed="81"/>
            <rFont val="Tahoma"/>
            <family val="2"/>
          </rPr>
          <t xml:space="preserve">
Relative I at intermediate point; to determine curvilinearity of IWPF.</t>
        </r>
      </text>
    </comment>
    <comment ref="A80" authorId="0" shapeId="0" xr:uid="{080631DA-79EC-4C59-805F-D594A0A0B76E}">
      <text>
        <r>
          <rPr>
            <b/>
            <sz val="9"/>
            <color indexed="81"/>
            <rFont val="Tahoma"/>
            <family val="2"/>
          </rPr>
          <t>Trout, Thomas:</t>
        </r>
        <r>
          <rPr>
            <sz val="9"/>
            <color indexed="81"/>
            <rFont val="Tahoma"/>
            <family val="2"/>
          </rPr>
          <t xml:space="preserve">
Relative yield at intermediate point, Ix</t>
        </r>
      </text>
    </comment>
    <comment ref="A81" authorId="0" shapeId="0" xr:uid="{B18980DE-DF82-4BF3-AE28-C5C3D93D9F95}">
      <text>
        <r>
          <rPr>
            <b/>
            <sz val="9"/>
            <color indexed="81"/>
            <rFont val="Tahoma"/>
            <family val="2"/>
          </rPr>
          <t>Trout, Thomas:</t>
        </r>
        <r>
          <rPr>
            <sz val="9"/>
            <color indexed="81"/>
            <rFont val="Tahoma"/>
            <family val="2"/>
          </rPr>
          <t xml:space="preserve">
Relative yield at rainfed relative ET (from WPF).</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Trout, Thomas</author>
    <author>TT</author>
  </authors>
  <commentList>
    <comment ref="B5" authorId="0" shapeId="0" xr:uid="{65B3D08A-2B0C-433F-8E39-C4F79B601477}">
      <text>
        <r>
          <rPr>
            <b/>
            <sz val="9"/>
            <color indexed="81"/>
            <rFont val="Tahoma"/>
            <family val="2"/>
          </rPr>
          <t>Trout, Thomas:</t>
        </r>
        <r>
          <rPr>
            <sz val="9"/>
            <color indexed="81"/>
            <rFont val="Tahoma"/>
            <family val="2"/>
          </rPr>
          <t xml:space="preserve">
Projected yield with full irrigation.</t>
        </r>
      </text>
    </comment>
    <comment ref="C5" authorId="0" shapeId="0" xr:uid="{301106ED-9A5B-45DD-8383-8879E86E5457}">
      <text>
        <r>
          <rPr>
            <b/>
            <sz val="9"/>
            <color indexed="81"/>
            <rFont val="Tahoma"/>
            <family val="2"/>
          </rPr>
          <t>Trout, Thomas:</t>
        </r>
        <r>
          <rPr>
            <sz val="9"/>
            <color indexed="81"/>
            <rFont val="Tahoma"/>
            <family val="2"/>
          </rPr>
          <t xml:space="preserve">
Yield Price of the irrigated crop</t>
        </r>
      </text>
    </comment>
    <comment ref="D5" authorId="0" shapeId="0" xr:uid="{0CBD898F-97AD-47AA-A72A-065404D91D33}">
      <text>
        <r>
          <rPr>
            <b/>
            <sz val="9"/>
            <color indexed="81"/>
            <rFont val="Tahoma"/>
            <family val="2"/>
          </rPr>
          <t>Trout, Thomas:</t>
        </r>
        <r>
          <rPr>
            <sz val="9"/>
            <color indexed="81"/>
            <rFont val="Tahoma"/>
            <family val="2"/>
          </rPr>
          <t xml:space="preserve">
Yield-based variable cost of producing the irrigated crop </t>
        </r>
      </text>
    </comment>
    <comment ref="E5" authorId="0" shapeId="0" xr:uid="{0A2198CA-3C96-424A-B2E1-F213C1C977D8}">
      <text>
        <r>
          <rPr>
            <b/>
            <sz val="9"/>
            <color indexed="81"/>
            <rFont val="Tahoma"/>
            <family val="2"/>
          </rPr>
          <t>Trout, Thomas:</t>
        </r>
        <r>
          <rPr>
            <sz val="9"/>
            <color indexed="81"/>
            <rFont val="Tahoma"/>
            <family val="2"/>
          </rPr>
          <t xml:space="preserve">
Variable cost of acquiring and applying irrigation water.</t>
        </r>
      </text>
    </comment>
    <comment ref="F5" authorId="0" shapeId="0" xr:uid="{171DF2D1-9373-4725-8B7B-71F0C6EDC6C5}">
      <text>
        <r>
          <rPr>
            <b/>
            <sz val="9"/>
            <color indexed="81"/>
            <rFont val="Tahoma"/>
            <family val="2"/>
          </rPr>
          <t>Trout, Thomas:</t>
        </r>
        <r>
          <rPr>
            <sz val="9"/>
            <color indexed="81"/>
            <rFont val="Tahoma"/>
            <family val="2"/>
          </rPr>
          <t xml:space="preserve">
Fixed (base, sunk) price of irrigated production (includes irrigation equipment).</t>
        </r>
      </text>
    </comment>
    <comment ref="C6" authorId="1" shapeId="0" xr:uid="{4E1885FB-34CE-446D-ADE3-89AF721A968C}">
      <text>
        <r>
          <rPr>
            <b/>
            <sz val="9"/>
            <color indexed="81"/>
            <rFont val="Tahoma"/>
            <family val="2"/>
          </rPr>
          <t>TT:</t>
        </r>
        <r>
          <rPr>
            <sz val="9"/>
            <color indexed="81"/>
            <rFont val="Tahoma"/>
            <family val="2"/>
          </rPr>
          <t xml:space="preserve">
Insert prices into shaded cells.</t>
        </r>
      </text>
    </comment>
    <comment ref="A11" authorId="0" shapeId="0" xr:uid="{72262C2B-1980-447C-902B-E0B49040C3B6}">
      <text>
        <r>
          <rPr>
            <b/>
            <sz val="9"/>
            <color indexed="81"/>
            <rFont val="Tahoma"/>
            <family val="2"/>
          </rPr>
          <t>Trout, Thomas:</t>
        </r>
        <r>
          <rPr>
            <sz val="9"/>
            <color indexed="81"/>
            <rFont val="Tahoma"/>
            <family val="2"/>
          </rPr>
          <t xml:space="preserve">
relative ET = ET/ETp</t>
        </r>
      </text>
    </comment>
    <comment ref="B11" authorId="0" shapeId="0" xr:uid="{388FA2BE-E86B-4DED-932A-72668EEE3FD4}">
      <text>
        <r>
          <rPr>
            <b/>
            <sz val="9"/>
            <color indexed="81"/>
            <rFont val="Tahoma"/>
            <family val="2"/>
          </rPr>
          <t>Trout, Thomas:</t>
        </r>
        <r>
          <rPr>
            <sz val="9"/>
            <color indexed="81"/>
            <rFont val="Tahoma"/>
            <family val="2"/>
          </rPr>
          <t xml:space="preserve">
Projected yield for relative ET (from WPF)</t>
        </r>
      </text>
    </comment>
    <comment ref="C11" authorId="0" shapeId="0" xr:uid="{E4ABC496-3B55-47E1-B01F-F2416DE3E287}">
      <text>
        <r>
          <rPr>
            <b/>
            <sz val="9"/>
            <color indexed="81"/>
            <rFont val="Tahoma"/>
            <family val="2"/>
          </rPr>
          <t>Trout, Thomas:</t>
        </r>
        <r>
          <rPr>
            <sz val="9"/>
            <color indexed="81"/>
            <rFont val="Tahoma"/>
            <family val="2"/>
          </rPr>
          <t xml:space="preserve">
Irrigation requirement = ET - Re - Se</t>
        </r>
      </text>
    </comment>
    <comment ref="D11" authorId="0" shapeId="0" xr:uid="{42238AC8-5552-488F-9245-787C342DA4EF}">
      <text>
        <r>
          <rPr>
            <b/>
            <sz val="9"/>
            <color indexed="81"/>
            <rFont val="Tahoma"/>
            <family val="2"/>
          </rPr>
          <t>Trout, Thomas:</t>
        </r>
        <r>
          <rPr>
            <sz val="9"/>
            <color indexed="81"/>
            <rFont val="Tahoma"/>
            <family val="2"/>
          </rPr>
          <t xml:space="preserve">
Irrigation requirement to meet relative ET = IR/Ei</t>
        </r>
      </text>
    </comment>
    <comment ref="F11" authorId="0" shapeId="0" xr:uid="{5A6FCF5A-D5EE-46F8-9F52-441559B4DEB0}">
      <text>
        <r>
          <rPr>
            <b/>
            <sz val="9"/>
            <color indexed="81"/>
            <rFont val="Tahoma"/>
            <family val="2"/>
          </rPr>
          <t>Trout, Thomas:</t>
        </r>
        <r>
          <rPr>
            <sz val="9"/>
            <color indexed="81"/>
            <rFont val="Tahoma"/>
            <family val="2"/>
          </rPr>
          <t xml:space="preserve">
Variable cost of production based on Y</t>
        </r>
      </text>
    </comment>
    <comment ref="G11" authorId="0" shapeId="0" xr:uid="{3BFF0739-5855-42EA-984B-FF9F4B457915}">
      <text>
        <r>
          <rPr>
            <b/>
            <sz val="9"/>
            <color indexed="81"/>
            <rFont val="Tahoma"/>
            <family val="2"/>
          </rPr>
          <t>Trout, Thomas:</t>
        </r>
        <r>
          <rPr>
            <sz val="9"/>
            <color indexed="81"/>
            <rFont val="Tahoma"/>
            <family val="2"/>
          </rPr>
          <t xml:space="preserve">
Variable cost of production based on irrigation supply.</t>
        </r>
      </text>
    </comment>
    <comment ref="H11" authorId="0" shapeId="0" xr:uid="{C998BA33-6A43-4D44-8D2E-E5231D8CDF2D}">
      <text>
        <r>
          <rPr>
            <b/>
            <sz val="9"/>
            <color indexed="81"/>
            <rFont val="Tahoma"/>
            <family val="2"/>
          </rPr>
          <t>Trout, Thomas:</t>
        </r>
        <r>
          <rPr>
            <sz val="9"/>
            <color indexed="81"/>
            <rFont val="Tahoma"/>
            <family val="2"/>
          </rPr>
          <t xml:space="preserve">
Net income per Ha of irrigated land.</t>
        </r>
      </text>
    </comment>
    <comment ref="A13" authorId="0" shapeId="0" xr:uid="{69175C68-CE6E-41FA-87D9-BC21AAD2A8A5}">
      <text>
        <r>
          <rPr>
            <b/>
            <sz val="9"/>
            <color indexed="81"/>
            <rFont val="Tahoma"/>
            <family val="2"/>
          </rPr>
          <t>Trout, Thomas:</t>
        </r>
        <r>
          <rPr>
            <sz val="9"/>
            <color indexed="81"/>
            <rFont val="Tahoma"/>
            <family val="2"/>
          </rPr>
          <t xml:space="preserve">
Maximum NI based on quadratic IWPF</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Trout, Thomas</author>
    <author>TT</author>
  </authors>
  <commentList>
    <comment ref="B5" authorId="0" shapeId="0" xr:uid="{225B32CF-FE6B-4F1D-901E-1766FB81440A}">
      <text>
        <r>
          <rPr>
            <b/>
            <sz val="9"/>
            <color indexed="81"/>
            <rFont val="Tahoma"/>
            <family val="2"/>
          </rPr>
          <t>Trout, Thomas:</t>
        </r>
        <r>
          <rPr>
            <sz val="9"/>
            <color indexed="81"/>
            <rFont val="Tahoma"/>
            <family val="2"/>
          </rPr>
          <t xml:space="preserve">
Projected yield with full irrigation.</t>
        </r>
      </text>
    </comment>
    <comment ref="C5" authorId="0" shapeId="0" xr:uid="{4F0ADA64-B439-4474-853E-CDAF2F1843EF}">
      <text>
        <r>
          <rPr>
            <b/>
            <sz val="9"/>
            <color indexed="81"/>
            <rFont val="Tahoma"/>
            <family val="2"/>
          </rPr>
          <t>Trout, Thomas:</t>
        </r>
        <r>
          <rPr>
            <sz val="9"/>
            <color indexed="81"/>
            <rFont val="Tahoma"/>
            <family val="2"/>
          </rPr>
          <t xml:space="preserve">
Water Supply Available</t>
        </r>
      </text>
    </comment>
    <comment ref="D5" authorId="0" shapeId="0" xr:uid="{33A4329A-1AEF-4473-BFC2-0130D37DF216}">
      <text>
        <r>
          <rPr>
            <b/>
            <sz val="9"/>
            <color indexed="81"/>
            <rFont val="Tahoma"/>
            <family val="2"/>
          </rPr>
          <t>Trout, Thomas:</t>
        </r>
        <r>
          <rPr>
            <sz val="9"/>
            <color indexed="81"/>
            <rFont val="Tahoma"/>
            <family val="2"/>
          </rPr>
          <t xml:space="preserve">
Required irrigation supply for full irrigation (ETp - Re - Se)/Ei</t>
        </r>
      </text>
    </comment>
    <comment ref="E5" authorId="0" shapeId="0" xr:uid="{A402C4D8-9969-4977-B29E-1B24D31FF7E7}">
      <text>
        <r>
          <rPr>
            <b/>
            <sz val="9"/>
            <color indexed="81"/>
            <rFont val="Tahoma"/>
            <family val="2"/>
          </rPr>
          <t>Trout, Thomas:</t>
        </r>
        <r>
          <rPr>
            <sz val="9"/>
            <color indexed="81"/>
            <rFont val="Tahoma"/>
            <family val="2"/>
          </rPr>
          <t xml:space="preserve">
Yield Price</t>
        </r>
      </text>
    </comment>
    <comment ref="F5" authorId="0" shapeId="0" xr:uid="{A446F4E4-69B4-428C-B629-BA8447F3367D}">
      <text>
        <r>
          <rPr>
            <b/>
            <sz val="9"/>
            <color indexed="81"/>
            <rFont val="Tahoma"/>
            <family val="2"/>
          </rPr>
          <t>Trout, Thomas:</t>
        </r>
        <r>
          <rPr>
            <sz val="9"/>
            <color indexed="81"/>
            <rFont val="Tahoma"/>
            <family val="2"/>
          </rPr>
          <t xml:space="preserve">
Variable cost of production (function of yield)</t>
        </r>
      </text>
    </comment>
    <comment ref="G5" authorId="0" shapeId="0" xr:uid="{44CB1A7E-E677-46D6-9745-942BEDED52A8}">
      <text>
        <r>
          <rPr>
            <b/>
            <sz val="9"/>
            <color indexed="81"/>
            <rFont val="Tahoma"/>
            <family val="2"/>
          </rPr>
          <t>Trout, Thomas:</t>
        </r>
        <r>
          <rPr>
            <sz val="9"/>
            <color indexed="81"/>
            <rFont val="Tahoma"/>
            <family val="2"/>
          </rPr>
          <t xml:space="preserve">
Variable price of irrigation water.</t>
        </r>
      </text>
    </comment>
    <comment ref="H5" authorId="0" shapeId="0" xr:uid="{3E2E31B3-3F4F-48B3-8073-B3593C044398}">
      <text>
        <r>
          <rPr>
            <b/>
            <sz val="9"/>
            <color indexed="81"/>
            <rFont val="Tahoma"/>
            <family val="2"/>
          </rPr>
          <t>Trout, Thomas:</t>
        </r>
        <r>
          <rPr>
            <sz val="9"/>
            <color indexed="81"/>
            <rFont val="Tahoma"/>
            <family val="2"/>
          </rPr>
          <t xml:space="preserve">
Fixed (base, sunk) price of irrigated production (includes irrigation equipment).</t>
        </r>
      </text>
    </comment>
    <comment ref="J5" authorId="0" shapeId="0" xr:uid="{9766C083-F13E-40BC-9D7E-B8AF45487D10}">
      <text>
        <r>
          <rPr>
            <b/>
            <sz val="9"/>
            <color indexed="81"/>
            <rFont val="Tahoma"/>
            <family val="2"/>
          </rPr>
          <t>Trout, Thomas:</t>
        </r>
        <r>
          <rPr>
            <sz val="9"/>
            <color indexed="81"/>
            <rFont val="Tahoma"/>
            <family val="2"/>
          </rPr>
          <t xml:space="preserve">
Fixed (base, sunk) cost of irrigatable land cropped to rainfed.</t>
        </r>
      </text>
    </comment>
    <comment ref="K5" authorId="0" shapeId="0" xr:uid="{098AEBBF-E2EB-40E8-A5A7-B2FC47048595}">
      <text>
        <r>
          <rPr>
            <b/>
            <sz val="9"/>
            <color indexed="81"/>
            <rFont val="Tahoma"/>
            <family val="2"/>
          </rPr>
          <t>Trout, Thomas:</t>
        </r>
        <r>
          <rPr>
            <sz val="9"/>
            <color indexed="81"/>
            <rFont val="Tahoma"/>
            <family val="2"/>
          </rPr>
          <t xml:space="preserve">
Sunk cost - land, equipment, insurance, etc. for farming operation.  Cost is for 1 Ha.</t>
        </r>
      </text>
    </comment>
    <comment ref="E6" authorId="1" shapeId="0" xr:uid="{94147B72-1EEB-4CC8-AB7F-D3285753E4B9}">
      <text>
        <r>
          <rPr>
            <b/>
            <sz val="9"/>
            <color indexed="81"/>
            <rFont val="Tahoma"/>
            <family val="2"/>
          </rPr>
          <t>TT:</t>
        </r>
        <r>
          <rPr>
            <sz val="9"/>
            <color indexed="81"/>
            <rFont val="Tahoma"/>
            <family val="2"/>
          </rPr>
          <t xml:space="preserve">
Insert prices into shaded cells.</t>
        </r>
      </text>
    </comment>
    <comment ref="A10" authorId="0" shapeId="0" xr:uid="{7630E2F1-3381-4759-8716-44598B651B6D}">
      <text>
        <r>
          <rPr>
            <b/>
            <sz val="9"/>
            <color indexed="81"/>
            <rFont val="Tahoma"/>
            <family val="2"/>
          </rPr>
          <t>Trout, Thomas:</t>
        </r>
        <r>
          <rPr>
            <sz val="9"/>
            <color indexed="81"/>
            <rFont val="Tahoma"/>
            <family val="2"/>
          </rPr>
          <t xml:space="preserve">
Using the same WPF as irrigated yield.</t>
        </r>
      </text>
    </comment>
    <comment ref="C11" authorId="1" shapeId="0" xr:uid="{0823180A-E9F9-4233-A0E9-CA9853E34208}">
      <text>
        <r>
          <rPr>
            <b/>
            <sz val="9"/>
            <color indexed="81"/>
            <rFont val="Tahoma"/>
            <family val="2"/>
          </rPr>
          <t>TT:</t>
        </r>
        <r>
          <rPr>
            <sz val="9"/>
            <color indexed="81"/>
            <rFont val="Tahoma"/>
            <family val="2"/>
          </rPr>
          <t xml:space="preserve">
Estimated portion of full ET supplied by seasonal precipitation and off-season soil water storage.  Initial estimate based on R + S.  Iterations based on Re and Se.</t>
        </r>
      </text>
    </comment>
    <comment ref="A12" authorId="0" shapeId="0" xr:uid="{6C5C8DF4-2883-420B-8209-96F171F74C43}">
      <text>
        <r>
          <rPr>
            <b/>
            <sz val="9"/>
            <color indexed="81"/>
            <rFont val="Tahoma"/>
            <family val="2"/>
          </rPr>
          <t>Trout, Thomas:</t>
        </r>
        <r>
          <rPr>
            <sz val="9"/>
            <color indexed="81"/>
            <rFont val="Tahoma"/>
            <family val="2"/>
          </rPr>
          <t xml:space="preserve">
Re = (D + Fx + Gx^2)*R</t>
        </r>
      </text>
    </comment>
    <comment ref="A13" authorId="0" shapeId="0" xr:uid="{EF69FEF9-908F-4290-BC1D-990485CBB0C4}">
      <text>
        <r>
          <rPr>
            <b/>
            <sz val="9"/>
            <color indexed="81"/>
            <rFont val="Tahoma"/>
            <family val="2"/>
          </rPr>
          <t>Trout, Thomas:</t>
        </r>
        <r>
          <rPr>
            <sz val="9"/>
            <color indexed="81"/>
            <rFont val="Tahoma"/>
            <family val="2"/>
          </rPr>
          <t xml:space="preserve">
Se = (H + Jx + Kx^2)*S</t>
        </r>
      </text>
    </comment>
    <comment ref="C14" authorId="0" shapeId="0" xr:uid="{C38F99C9-61B4-413C-B41D-0D9D9FAE1CBC}">
      <text>
        <r>
          <rPr>
            <b/>
            <sz val="9"/>
            <color indexed="81"/>
            <rFont val="Tahoma"/>
            <family val="2"/>
          </rPr>
          <t>Trout, Thomas:</t>
        </r>
        <r>
          <rPr>
            <sz val="9"/>
            <color indexed="81"/>
            <rFont val="Tahoma"/>
            <family val="2"/>
          </rPr>
          <t xml:space="preserve">
Expected rainfed yield based on WPF and effective rainfall and storage.</t>
        </r>
      </text>
    </comment>
    <comment ref="N14" authorId="0" shapeId="0" xr:uid="{13DD0B26-4B18-4645-AC78-8DB306B664ED}">
      <text>
        <r>
          <rPr>
            <b/>
            <sz val="9"/>
            <color indexed="81"/>
            <rFont val="Tahoma"/>
            <family val="2"/>
          </rPr>
          <t>Trout, Thomas:</t>
        </r>
        <r>
          <rPr>
            <sz val="9"/>
            <color indexed="81"/>
            <rFont val="Tahoma"/>
            <family val="2"/>
          </rPr>
          <t xml:space="preserve">
Expected rainfed yield based on effective rainfall and storage (determined iteratively).</t>
        </r>
      </text>
    </comment>
    <comment ref="I19" authorId="0" shapeId="0" xr:uid="{0F759B2C-690F-4E63-93AE-32E0AB4AC73A}">
      <text>
        <r>
          <rPr>
            <b/>
            <sz val="9"/>
            <color indexed="81"/>
            <rFont val="Tahoma"/>
            <family val="2"/>
          </rPr>
          <t>Trout, Thomas:</t>
        </r>
        <r>
          <rPr>
            <sz val="9"/>
            <color indexed="81"/>
            <rFont val="Tahoma"/>
            <family val="2"/>
          </rPr>
          <t xml:space="preserve">
Default value copied from N14.   May insert value.</t>
        </r>
      </text>
    </comment>
    <comment ref="I20" authorId="0" shapeId="0" xr:uid="{196CD022-A053-4668-A509-1BCE6AE5DE45}">
      <text>
        <r>
          <rPr>
            <b/>
            <sz val="9"/>
            <color indexed="81"/>
            <rFont val="Tahoma"/>
            <family val="2"/>
          </rPr>
          <t>Trout, Thomas:</t>
        </r>
        <r>
          <rPr>
            <sz val="9"/>
            <color indexed="81"/>
            <rFont val="Tahoma"/>
            <family val="2"/>
          </rPr>
          <t xml:space="preserve">
Default values are copied from cell N15.   Can be changed for other crops and conditions.</t>
        </r>
      </text>
    </comment>
    <comment ref="I21" authorId="0" shapeId="0" xr:uid="{E0D8E1EB-7DC8-4576-9FDC-EEB9D2C62303}">
      <text>
        <r>
          <rPr>
            <b/>
            <sz val="9"/>
            <color indexed="81"/>
            <rFont val="Tahoma"/>
            <family val="2"/>
          </rPr>
          <t>Trout, Thomas:</t>
        </r>
        <r>
          <rPr>
            <sz val="9"/>
            <color indexed="81"/>
            <rFont val="Tahoma"/>
            <family val="2"/>
          </rPr>
          <t xml:space="preserve">
Default values are copied from cell N16.  May input any value.  Can be changed for other crops and conditions.</t>
        </r>
      </text>
    </comment>
    <comment ref="A22" authorId="0" shapeId="0" xr:uid="{DD0219A9-A5E4-45F4-86BD-442D7DDDB708}">
      <text>
        <r>
          <rPr>
            <b/>
            <sz val="9"/>
            <color indexed="81"/>
            <rFont val="Tahoma"/>
            <family val="2"/>
          </rPr>
          <t>Trout, Thomas:</t>
        </r>
        <r>
          <rPr>
            <sz val="9"/>
            <color indexed="81"/>
            <rFont val="Tahoma"/>
            <family val="2"/>
          </rPr>
          <t xml:space="preserve">
relative ET = ET/ETp</t>
        </r>
      </text>
    </comment>
    <comment ref="B22" authorId="0" shapeId="0" xr:uid="{C9D04998-0E55-4628-B6D6-504D04F0277F}">
      <text>
        <r>
          <rPr>
            <b/>
            <sz val="9"/>
            <color indexed="81"/>
            <rFont val="Tahoma"/>
            <family val="2"/>
          </rPr>
          <t>Trout, Thomas:</t>
        </r>
        <r>
          <rPr>
            <sz val="9"/>
            <color indexed="81"/>
            <rFont val="Tahoma"/>
            <family val="2"/>
          </rPr>
          <t xml:space="preserve">
Projected yield for relative ET (from WPF)</t>
        </r>
      </text>
    </comment>
    <comment ref="C22" authorId="0" shapeId="0" xr:uid="{6D06F533-F7AE-4594-9569-97C4BE4FE5DC}">
      <text>
        <r>
          <rPr>
            <b/>
            <sz val="9"/>
            <color indexed="81"/>
            <rFont val="Tahoma"/>
            <family val="2"/>
          </rPr>
          <t>Trout, Thomas:</t>
        </r>
        <r>
          <rPr>
            <sz val="9"/>
            <color indexed="81"/>
            <rFont val="Tahoma"/>
            <family val="2"/>
          </rPr>
          <t xml:space="preserve">
Irrigation requirement = ET - Re - Se</t>
        </r>
      </text>
    </comment>
    <comment ref="D22" authorId="0" shapeId="0" xr:uid="{854843FF-C10C-4FDA-8DDB-A4ACE49EAED1}">
      <text>
        <r>
          <rPr>
            <b/>
            <sz val="9"/>
            <color indexed="81"/>
            <rFont val="Tahoma"/>
            <family val="2"/>
          </rPr>
          <t>Trout, Thomas:</t>
        </r>
        <r>
          <rPr>
            <sz val="9"/>
            <color indexed="81"/>
            <rFont val="Tahoma"/>
            <family val="2"/>
          </rPr>
          <t xml:space="preserve">
Irrigation requirement to meet relative ET = IR/Ei</t>
        </r>
      </text>
    </comment>
    <comment ref="E22" authorId="0" shapeId="0" xr:uid="{F2749796-00E6-41BA-B158-58DE9AAA488C}">
      <text>
        <r>
          <rPr>
            <b/>
            <sz val="9"/>
            <color indexed="81"/>
            <rFont val="Tahoma"/>
            <family val="2"/>
          </rPr>
          <t>Trout, Thomas:</t>
        </r>
        <r>
          <rPr>
            <sz val="9"/>
            <color indexed="81"/>
            <rFont val="Tahoma"/>
            <family val="2"/>
          </rPr>
          <t xml:space="preserve">
Irrigated Crop Revenue:  yield times price.</t>
        </r>
      </text>
    </comment>
    <comment ref="F22" authorId="0" shapeId="0" xr:uid="{1D792C5C-566A-4FAD-BCF6-A192FD898662}">
      <text>
        <r>
          <rPr>
            <b/>
            <sz val="9"/>
            <color indexed="81"/>
            <rFont val="Tahoma"/>
            <family val="2"/>
          </rPr>
          <t>Trout, Thomas:</t>
        </r>
        <r>
          <rPr>
            <sz val="9"/>
            <color indexed="81"/>
            <rFont val="Tahoma"/>
            <family val="2"/>
          </rPr>
          <t xml:space="preserve">
Variable cost of production based on Y</t>
        </r>
      </text>
    </comment>
    <comment ref="G22" authorId="0" shapeId="0" xr:uid="{879B2707-DBB0-4EAF-9848-C91C0C310A1E}">
      <text>
        <r>
          <rPr>
            <b/>
            <sz val="9"/>
            <color indexed="81"/>
            <rFont val="Tahoma"/>
            <family val="2"/>
          </rPr>
          <t>Trout, Thomas:</t>
        </r>
        <r>
          <rPr>
            <sz val="9"/>
            <color indexed="81"/>
            <rFont val="Tahoma"/>
            <family val="2"/>
          </rPr>
          <t xml:space="preserve">
Variable cost of production based on irrigation supply.</t>
        </r>
      </text>
    </comment>
    <comment ref="H22" authorId="0" shapeId="0" xr:uid="{ACBEAE95-DEB8-4E4B-95D5-E50C1DE74FEF}">
      <text>
        <r>
          <rPr>
            <b/>
            <sz val="9"/>
            <color indexed="81"/>
            <rFont val="Tahoma"/>
            <family val="2"/>
          </rPr>
          <t>Trout, Thomas:</t>
        </r>
        <r>
          <rPr>
            <sz val="9"/>
            <color indexed="81"/>
            <rFont val="Tahoma"/>
            <family val="2"/>
          </rPr>
          <t xml:space="preserve">
Net income per Ha of irrigated land.</t>
        </r>
      </text>
    </comment>
    <comment ref="I22" authorId="0" shapeId="0" xr:uid="{3659957A-1DEB-4393-9E08-D55D5EF30EFE}">
      <text>
        <r>
          <rPr>
            <b/>
            <sz val="9"/>
            <color indexed="81"/>
            <rFont val="Tahoma"/>
            <family val="2"/>
          </rPr>
          <t>Trout, Thomas:</t>
        </r>
        <r>
          <rPr>
            <sz val="9"/>
            <color indexed="81"/>
            <rFont val="Tahoma"/>
            <family val="2"/>
          </rPr>
          <t xml:space="preserve">
Net Income per Ha for rainfed land.</t>
        </r>
      </text>
    </comment>
    <comment ref="J22" authorId="0" shapeId="0" xr:uid="{86FCDACA-F298-4D5C-982A-DC5EF6B82F9C}">
      <text>
        <r>
          <rPr>
            <b/>
            <sz val="9"/>
            <color indexed="81"/>
            <rFont val="Tahoma"/>
            <family val="2"/>
          </rPr>
          <t>Trout, Thomas:</t>
        </r>
        <r>
          <rPr>
            <sz val="9"/>
            <color indexed="81"/>
            <rFont val="Tahoma"/>
            <family val="2"/>
          </rPr>
          <t xml:space="preserve">
Fraction of land irrigated</t>
        </r>
      </text>
    </comment>
    <comment ref="K22" authorId="0" shapeId="0" xr:uid="{820B5BAC-592B-465D-A6F9-5F64735B6D00}">
      <text>
        <r>
          <rPr>
            <b/>
            <sz val="9"/>
            <color indexed="81"/>
            <rFont val="Tahoma"/>
            <family val="2"/>
          </rPr>
          <t>Trout, Thomas:</t>
        </r>
        <r>
          <rPr>
            <sz val="9"/>
            <color indexed="81"/>
            <rFont val="Tahoma"/>
            <family val="2"/>
          </rPr>
          <t xml:space="preserve">
Fraction of land rainfed</t>
        </r>
      </text>
    </comment>
    <comment ref="L22" authorId="0" shapeId="0" xr:uid="{3F93C86C-0AF9-48B0-BCD7-FF55F9761DD4}">
      <text>
        <r>
          <rPr>
            <b/>
            <sz val="9"/>
            <color indexed="81"/>
            <rFont val="Tahoma"/>
            <family val="2"/>
          </rPr>
          <t>Trout, Thomas:</t>
        </r>
        <r>
          <rPr>
            <sz val="9"/>
            <color indexed="81"/>
            <rFont val="Tahoma"/>
            <family val="2"/>
          </rPr>
          <t xml:space="preserve">
NI from faction of land irrigated.</t>
        </r>
      </text>
    </comment>
    <comment ref="M22" authorId="0" shapeId="0" xr:uid="{4208AF62-B564-43AE-97C0-7456CF8B16C8}">
      <text>
        <r>
          <rPr>
            <b/>
            <sz val="9"/>
            <color indexed="81"/>
            <rFont val="Tahoma"/>
            <family val="2"/>
          </rPr>
          <t>Trout, Thomas:</t>
        </r>
        <r>
          <rPr>
            <sz val="9"/>
            <color indexed="81"/>
            <rFont val="Tahoma"/>
            <family val="2"/>
          </rPr>
          <t xml:space="preserve">
NI from faction of land rainfed.</t>
        </r>
      </text>
    </comment>
    <comment ref="N22" authorId="0" shapeId="0" xr:uid="{9FF9139A-AEEE-4391-8C31-6374FE365B53}">
      <text>
        <r>
          <rPr>
            <b/>
            <sz val="9"/>
            <color indexed="81"/>
            <rFont val="Tahoma"/>
            <family val="2"/>
          </rPr>
          <t>Trout, Thomas:</t>
        </r>
        <r>
          <rPr>
            <sz val="9"/>
            <color indexed="81"/>
            <rFont val="Tahoma"/>
            <family val="2"/>
          </rPr>
          <t xml:space="preserve">
NI per Ha for both irrigated and dryland.</t>
        </r>
      </text>
    </comment>
    <comment ref="A24" authorId="0" shapeId="0" xr:uid="{D40CD5B1-F919-41A9-8314-651C521F43C6}">
      <text>
        <r>
          <rPr>
            <b/>
            <sz val="9"/>
            <color indexed="81"/>
            <rFont val="Tahoma"/>
            <family val="2"/>
          </rPr>
          <t>Trout, Thomas:</t>
        </r>
        <r>
          <rPr>
            <sz val="9"/>
            <color indexed="81"/>
            <rFont val="Tahoma"/>
            <family val="2"/>
          </rPr>
          <t xml:space="preserve">
Maximum NI based on quadratic IWPF</t>
        </r>
      </text>
    </comment>
  </commentList>
</comments>
</file>

<file path=xl/sharedStrings.xml><?xml version="1.0" encoding="utf-8"?>
<sst xmlns="http://schemas.openxmlformats.org/spreadsheetml/2006/main" count="376" uniqueCount="226">
  <si>
    <t>Normalized WPF</t>
  </si>
  <si>
    <t>2nd degree polynomial</t>
  </si>
  <si>
    <t>Rel ET</t>
  </si>
  <si>
    <t>Rel Y</t>
  </si>
  <si>
    <t>dY/dx</t>
  </si>
  <si>
    <t>x</t>
  </si>
  <si>
    <t>Y</t>
  </si>
  <si>
    <t>WP = Y/x</t>
  </si>
  <si>
    <t>WP = 1</t>
  </si>
  <si>
    <t>WP max</t>
  </si>
  <si>
    <t>dY/dx( x=1)</t>
  </si>
  <si>
    <t>WP=1</t>
  </si>
  <si>
    <t>Normalized Soil Water Storage Efficiency, Es</t>
  </si>
  <si>
    <t>Normalized Irrigation Efficiency, Ei</t>
  </si>
  <si>
    <t>x = relative ET</t>
  </si>
  <si>
    <t>mm</t>
  </si>
  <si>
    <t>ET</t>
  </si>
  <si>
    <t>Ei</t>
  </si>
  <si>
    <t>Es</t>
  </si>
  <si>
    <t>Suggested Values</t>
  </si>
  <si>
    <t>kg/ha</t>
  </si>
  <si>
    <t>Prices</t>
  </si>
  <si>
    <t>$/ha</t>
  </si>
  <si>
    <t>Kg/ha</t>
  </si>
  <si>
    <t>Ei1=</t>
  </si>
  <si>
    <t>Ei = Ei1 for x=1</t>
  </si>
  <si>
    <t>A =</t>
  </si>
  <si>
    <t>B =</t>
  </si>
  <si>
    <t>C =</t>
  </si>
  <si>
    <r>
      <t>x</t>
    </r>
    <r>
      <rPr>
        <vertAlign val="subscript"/>
        <sz val="11"/>
        <color theme="1"/>
        <rFont val="Calibri"/>
        <family val="2"/>
        <scheme val="minor"/>
      </rPr>
      <t xml:space="preserve">0 </t>
    </r>
    <r>
      <rPr>
        <sz val="11"/>
        <color theme="1"/>
        <rFont val="Calibri"/>
        <family val="2"/>
        <scheme val="minor"/>
      </rPr>
      <t>=</t>
    </r>
  </si>
  <si>
    <r>
      <t>x</t>
    </r>
    <r>
      <rPr>
        <vertAlign val="subscript"/>
        <sz val="11"/>
        <color theme="1"/>
        <rFont val="Calibri"/>
        <family val="2"/>
        <scheme val="minor"/>
      </rPr>
      <t xml:space="preserve">2 </t>
    </r>
    <r>
      <rPr>
        <sz val="11"/>
        <color theme="1"/>
        <rFont val="Calibri"/>
        <family val="2"/>
        <scheme val="minor"/>
      </rPr>
      <t>=</t>
    </r>
  </si>
  <si>
    <r>
      <rPr>
        <i/>
        <sz val="11"/>
        <color theme="1"/>
        <rFont val="Calibri"/>
        <family val="2"/>
        <scheme val="minor"/>
      </rPr>
      <t>Y</t>
    </r>
    <r>
      <rPr>
        <vertAlign val="subscript"/>
        <sz val="11"/>
        <color theme="1"/>
        <rFont val="Calibri"/>
        <family val="2"/>
        <scheme val="minor"/>
      </rPr>
      <t xml:space="preserve">2 </t>
    </r>
    <r>
      <rPr>
        <sz val="11"/>
        <color theme="1"/>
        <rFont val="Calibri"/>
        <family val="2"/>
        <scheme val="minor"/>
      </rPr>
      <t>=</t>
    </r>
  </si>
  <si>
    <t>x=(-(B-1)+SQRT((B-1)^2-4Ac))/(2*C)</t>
  </si>
  <si>
    <t>x=SQRT(A/C)</t>
  </si>
  <si>
    <t>C(max)</t>
  </si>
  <si>
    <r>
      <t>x</t>
    </r>
    <r>
      <rPr>
        <vertAlign val="subscript"/>
        <sz val="11"/>
        <color theme="1"/>
        <rFont val="Calibri"/>
        <family val="2"/>
        <scheme val="minor"/>
      </rPr>
      <t>1</t>
    </r>
    <r>
      <rPr>
        <sz val="11"/>
        <color theme="1"/>
        <rFont val="Calibri"/>
        <family val="2"/>
        <scheme val="minor"/>
      </rPr>
      <t xml:space="preserve"> =</t>
    </r>
  </si>
  <si>
    <t>N =</t>
  </si>
  <si>
    <t>L =</t>
  </si>
  <si>
    <t>M =</t>
  </si>
  <si>
    <t>Normalized Precipitation Efficiency, Er</t>
  </si>
  <si>
    <t>G =</t>
  </si>
  <si>
    <t>F =</t>
  </si>
  <si>
    <t>D =</t>
  </si>
  <si>
    <r>
      <t>Er = Er</t>
    </r>
    <r>
      <rPr>
        <vertAlign val="subscript"/>
        <sz val="11"/>
        <color theme="1"/>
        <rFont val="Calibri"/>
        <family val="2"/>
        <scheme val="minor"/>
      </rPr>
      <t>1</t>
    </r>
    <r>
      <rPr>
        <sz val="11"/>
        <color theme="1"/>
        <rFont val="Calibri"/>
        <family val="2"/>
        <scheme val="minor"/>
      </rPr>
      <t xml:space="preserve"> for x=1</t>
    </r>
  </si>
  <si>
    <r>
      <t>Er = 1 for x = x</t>
    </r>
    <r>
      <rPr>
        <vertAlign val="subscript"/>
        <sz val="11"/>
        <color theme="1"/>
        <rFont val="Calibri"/>
        <family val="2"/>
        <scheme val="minor"/>
      </rPr>
      <t>r</t>
    </r>
  </si>
  <si>
    <r>
      <t>Er</t>
    </r>
    <r>
      <rPr>
        <vertAlign val="subscript"/>
        <sz val="11"/>
        <color theme="1"/>
        <rFont val="Calibri"/>
        <family val="2"/>
        <scheme val="minor"/>
      </rPr>
      <t>1</t>
    </r>
    <r>
      <rPr>
        <sz val="11"/>
        <color theme="1"/>
        <rFont val="Calibri"/>
        <family val="2"/>
        <scheme val="minor"/>
      </rPr>
      <t>=</t>
    </r>
  </si>
  <si>
    <r>
      <t>x</t>
    </r>
    <r>
      <rPr>
        <vertAlign val="subscript"/>
        <sz val="11"/>
        <color theme="1"/>
        <rFont val="Calibri"/>
        <family val="2"/>
        <scheme val="minor"/>
      </rPr>
      <t>r</t>
    </r>
    <r>
      <rPr>
        <sz val="11"/>
        <color theme="1"/>
        <rFont val="Calibri"/>
        <family val="2"/>
        <scheme val="minor"/>
      </rPr>
      <t xml:space="preserve"> =</t>
    </r>
  </si>
  <si>
    <r>
      <t>F = (Er</t>
    </r>
    <r>
      <rPr>
        <vertAlign val="subscript"/>
        <sz val="11"/>
        <color theme="1"/>
        <rFont val="Calibri"/>
        <family val="2"/>
        <scheme val="minor"/>
      </rPr>
      <t>1</t>
    </r>
    <r>
      <rPr>
        <sz val="11"/>
        <color theme="1"/>
        <rFont val="Calibri"/>
        <family val="2"/>
        <scheme val="minor"/>
      </rPr>
      <t xml:space="preserve"> - 1 - G(1-x</t>
    </r>
    <r>
      <rPr>
        <vertAlign val="subscript"/>
        <sz val="11"/>
        <color theme="1"/>
        <rFont val="Calibri"/>
        <family val="2"/>
        <scheme val="minor"/>
      </rPr>
      <t>r</t>
    </r>
    <r>
      <rPr>
        <vertAlign val="superscript"/>
        <sz val="11"/>
        <color theme="1"/>
        <rFont val="Calibri"/>
        <family val="2"/>
        <scheme val="minor"/>
      </rPr>
      <t>2</t>
    </r>
    <r>
      <rPr>
        <sz val="11"/>
        <color theme="1"/>
        <rFont val="Calibri"/>
        <family val="2"/>
        <scheme val="minor"/>
      </rPr>
      <t>))/(1-x</t>
    </r>
    <r>
      <rPr>
        <vertAlign val="subscript"/>
        <sz val="11"/>
        <color theme="1"/>
        <rFont val="Calibri"/>
        <family val="2"/>
        <scheme val="minor"/>
      </rPr>
      <t>r</t>
    </r>
    <r>
      <rPr>
        <sz val="11"/>
        <color theme="1"/>
        <rFont val="Calibri"/>
        <family val="2"/>
        <scheme val="minor"/>
      </rPr>
      <t>)</t>
    </r>
  </si>
  <si>
    <r>
      <t>D = Er</t>
    </r>
    <r>
      <rPr>
        <vertAlign val="subscript"/>
        <sz val="11"/>
        <color theme="1"/>
        <rFont val="Calibri"/>
        <family val="2"/>
        <scheme val="minor"/>
      </rPr>
      <t>1</t>
    </r>
    <r>
      <rPr>
        <sz val="11"/>
        <color theme="1"/>
        <rFont val="Calibri"/>
        <family val="2"/>
        <scheme val="minor"/>
      </rPr>
      <t xml:space="preserve"> - F - G</t>
    </r>
  </si>
  <si>
    <r>
      <t>Es = 1 for x = x</t>
    </r>
    <r>
      <rPr>
        <vertAlign val="subscript"/>
        <sz val="11"/>
        <color theme="1"/>
        <rFont val="Calibri"/>
        <family val="2"/>
        <scheme val="minor"/>
      </rPr>
      <t>s</t>
    </r>
  </si>
  <si>
    <r>
      <t>Es</t>
    </r>
    <r>
      <rPr>
        <vertAlign val="subscript"/>
        <sz val="11"/>
        <color theme="1"/>
        <rFont val="Calibri"/>
        <family val="2"/>
        <scheme val="minor"/>
      </rPr>
      <t>1</t>
    </r>
    <r>
      <rPr>
        <sz val="11"/>
        <color theme="1"/>
        <rFont val="Calibri"/>
        <family val="2"/>
        <scheme val="minor"/>
      </rPr>
      <t xml:space="preserve"> =</t>
    </r>
  </si>
  <si>
    <r>
      <t>x</t>
    </r>
    <r>
      <rPr>
        <vertAlign val="subscript"/>
        <sz val="11"/>
        <color theme="1"/>
        <rFont val="Calibri"/>
        <family val="2"/>
        <scheme val="minor"/>
      </rPr>
      <t>s</t>
    </r>
    <r>
      <rPr>
        <sz val="11"/>
        <color theme="1"/>
        <rFont val="Calibri"/>
        <family val="2"/>
        <scheme val="minor"/>
      </rPr>
      <t xml:space="preserve"> =</t>
    </r>
  </si>
  <si>
    <t>K =</t>
  </si>
  <si>
    <t>J =</t>
  </si>
  <si>
    <t>H =</t>
  </si>
  <si>
    <t>Es = 0 for x=1</t>
  </si>
  <si>
    <t>H = - J - K</t>
  </si>
  <si>
    <r>
      <t>J = (-1 - K(1 - x</t>
    </r>
    <r>
      <rPr>
        <vertAlign val="subscript"/>
        <sz val="11"/>
        <color theme="1"/>
        <rFont val="Calibri"/>
        <family val="2"/>
        <scheme val="minor"/>
      </rPr>
      <t>s</t>
    </r>
    <r>
      <rPr>
        <vertAlign val="superscript"/>
        <sz val="11"/>
        <color theme="1"/>
        <rFont val="Calibri"/>
        <family val="2"/>
        <scheme val="minor"/>
      </rPr>
      <t>2</t>
    </r>
    <r>
      <rPr>
        <sz val="11"/>
        <color theme="1"/>
        <rFont val="Calibri"/>
        <family val="2"/>
        <scheme val="minor"/>
      </rPr>
      <t>)/(1 - x</t>
    </r>
    <r>
      <rPr>
        <vertAlign val="subscript"/>
        <sz val="11"/>
        <color theme="1"/>
        <rFont val="Calibri"/>
        <family val="2"/>
        <scheme val="minor"/>
      </rPr>
      <t>s</t>
    </r>
    <r>
      <rPr>
        <sz val="11"/>
        <color theme="1"/>
        <rFont val="Calibri"/>
        <family val="2"/>
        <scheme val="minor"/>
      </rPr>
      <t>)</t>
    </r>
  </si>
  <si>
    <r>
      <t>M = (Ei</t>
    </r>
    <r>
      <rPr>
        <vertAlign val="subscript"/>
        <sz val="11"/>
        <color theme="1"/>
        <rFont val="Calibri"/>
        <family val="2"/>
        <scheme val="minor"/>
      </rPr>
      <t>1</t>
    </r>
    <r>
      <rPr>
        <sz val="11"/>
        <color theme="1"/>
        <rFont val="Calibri"/>
        <family val="2"/>
        <scheme val="minor"/>
      </rPr>
      <t xml:space="preserve"> - 1 - N*(1-x</t>
    </r>
    <r>
      <rPr>
        <vertAlign val="subscript"/>
        <sz val="11"/>
        <color theme="1"/>
        <rFont val="Calibri"/>
        <family val="2"/>
        <scheme val="minor"/>
      </rPr>
      <t>i</t>
    </r>
    <r>
      <rPr>
        <vertAlign val="superscript"/>
        <sz val="11"/>
        <color theme="1"/>
        <rFont val="Calibri"/>
        <family val="2"/>
        <scheme val="minor"/>
      </rPr>
      <t>2</t>
    </r>
    <r>
      <rPr>
        <sz val="11"/>
        <color theme="1"/>
        <rFont val="Calibri"/>
        <family val="2"/>
        <scheme val="minor"/>
      </rPr>
      <t>))/(1-x</t>
    </r>
    <r>
      <rPr>
        <vertAlign val="subscript"/>
        <sz val="11"/>
        <color theme="1"/>
        <rFont val="Calibri"/>
        <family val="2"/>
        <scheme val="minor"/>
      </rPr>
      <t>i</t>
    </r>
    <r>
      <rPr>
        <sz val="11"/>
        <color theme="1"/>
        <rFont val="Calibri"/>
        <family val="2"/>
        <scheme val="minor"/>
      </rPr>
      <t>)</t>
    </r>
  </si>
  <si>
    <r>
      <t>L = Ei</t>
    </r>
    <r>
      <rPr>
        <vertAlign val="subscript"/>
        <sz val="11"/>
        <color theme="1"/>
        <rFont val="Calibri"/>
        <family val="2"/>
        <scheme val="minor"/>
      </rPr>
      <t>1</t>
    </r>
    <r>
      <rPr>
        <sz val="11"/>
        <color theme="1"/>
        <rFont val="Calibri"/>
        <family val="2"/>
        <scheme val="minor"/>
      </rPr>
      <t xml:space="preserve"> - M - N</t>
    </r>
  </si>
  <si>
    <t>Irrigation Requirement and Supply</t>
  </si>
  <si>
    <t>Re</t>
  </si>
  <si>
    <t>Se</t>
  </si>
  <si>
    <r>
      <t>(Note:  1 ha-mm = 10 m</t>
    </r>
    <r>
      <rPr>
        <i/>
        <vertAlign val="superscript"/>
        <sz val="11"/>
        <color theme="1"/>
        <rFont val="Calibri"/>
        <family val="2"/>
        <scheme val="minor"/>
      </rPr>
      <t>3</t>
    </r>
    <r>
      <rPr>
        <i/>
        <sz val="11"/>
        <color theme="1"/>
        <rFont val="Calibri"/>
        <family val="2"/>
        <scheme val="minor"/>
      </rPr>
      <t>)</t>
    </r>
  </si>
  <si>
    <r>
      <t>I</t>
    </r>
    <r>
      <rPr>
        <vertAlign val="subscript"/>
        <sz val="11"/>
        <color theme="1"/>
        <rFont val="Calibri"/>
        <family val="2"/>
        <scheme val="minor"/>
      </rPr>
      <t>R</t>
    </r>
  </si>
  <si>
    <r>
      <t>I</t>
    </r>
    <r>
      <rPr>
        <vertAlign val="subscript"/>
        <sz val="11"/>
        <color theme="1"/>
        <rFont val="Calibri"/>
        <family val="2"/>
        <scheme val="minor"/>
      </rPr>
      <t>S</t>
    </r>
  </si>
  <si>
    <t>NI</t>
  </si>
  <si>
    <r>
      <t>x</t>
    </r>
    <r>
      <rPr>
        <vertAlign val="subscript"/>
        <sz val="11"/>
        <color theme="1"/>
        <rFont val="Calibri"/>
        <family val="2"/>
        <scheme val="minor"/>
      </rPr>
      <t>op</t>
    </r>
  </si>
  <si>
    <t>NE Colo Crop Enterprise Budget</t>
  </si>
  <si>
    <r>
      <t>(Note:  1 ha-mm = 10 m</t>
    </r>
    <r>
      <rPr>
        <i/>
        <vertAlign val="superscript"/>
        <sz val="11"/>
        <color theme="1"/>
        <rFont val="Calibri"/>
        <family val="2"/>
        <scheme val="minor"/>
      </rPr>
      <t xml:space="preserve">3 </t>
    </r>
    <r>
      <rPr>
        <i/>
        <sz val="11"/>
        <color theme="1"/>
        <rFont val="Calibri"/>
        <family val="2"/>
        <scheme val="minor"/>
      </rPr>
      <t>; $10/(ha-mm) = $1/m</t>
    </r>
    <r>
      <rPr>
        <i/>
        <vertAlign val="superscript"/>
        <sz val="11"/>
        <color theme="1"/>
        <rFont val="Calibri"/>
        <family val="2"/>
        <scheme val="minor"/>
      </rPr>
      <t>3</t>
    </r>
    <r>
      <rPr>
        <i/>
        <sz val="11"/>
        <color theme="1"/>
        <rFont val="Calibri"/>
        <family val="2"/>
        <scheme val="minor"/>
      </rPr>
      <t>)</t>
    </r>
  </si>
  <si>
    <t>Ei = 1 for x = xi</t>
  </si>
  <si>
    <t>xi=</t>
  </si>
  <si>
    <t>C = 0</t>
  </si>
  <si>
    <t>C = -1</t>
  </si>
  <si>
    <t>C = -2</t>
  </si>
  <si>
    <t>Er</t>
  </si>
  <si>
    <t>Description of the Deficit Irrigation Economics Model</t>
  </si>
  <si>
    <t>General Instructions</t>
  </si>
  <si>
    <r>
      <t>WPF Model - Water Production Function and Water Productivity</t>
    </r>
    <r>
      <rPr>
        <sz val="11"/>
        <color theme="1"/>
        <rFont val="Calibri"/>
        <family val="2"/>
        <scheme val="minor"/>
      </rPr>
      <t xml:space="preserve"> (3 input parameters)</t>
    </r>
  </si>
  <si>
    <r>
      <t>Y</t>
    </r>
    <r>
      <rPr>
        <vertAlign val="subscript"/>
        <sz val="11"/>
        <color theme="1"/>
        <rFont val="Calibri"/>
        <family val="2"/>
        <scheme val="minor"/>
      </rPr>
      <t>R</t>
    </r>
    <r>
      <rPr>
        <sz val="11"/>
        <color theme="1"/>
        <rFont val="Calibri"/>
        <family val="2"/>
        <scheme val="minor"/>
      </rPr>
      <t xml:space="preserve"> = A + Bx + Cx</t>
    </r>
    <r>
      <rPr>
        <vertAlign val="superscript"/>
        <sz val="11"/>
        <color theme="1"/>
        <rFont val="Calibri"/>
        <family val="2"/>
        <scheme val="minor"/>
      </rPr>
      <t>2</t>
    </r>
  </si>
  <si>
    <r>
      <t>Y</t>
    </r>
    <r>
      <rPr>
        <vertAlign val="subscript"/>
        <sz val="11"/>
        <color theme="1"/>
        <rFont val="Calibri"/>
        <family val="2"/>
        <scheme val="minor"/>
      </rPr>
      <t>R</t>
    </r>
    <r>
      <rPr>
        <sz val="11"/>
        <color theme="1"/>
        <rFont val="Calibri"/>
        <family val="2"/>
        <scheme val="minor"/>
      </rPr>
      <t xml:space="preserve"> = 1 for x = 1</t>
    </r>
  </si>
  <si>
    <r>
      <t>B=(Y</t>
    </r>
    <r>
      <rPr>
        <vertAlign val="subscript"/>
        <sz val="11"/>
        <color theme="1"/>
        <rFont val="Calibri"/>
        <family val="2"/>
        <scheme val="minor"/>
      </rPr>
      <t>R2</t>
    </r>
    <r>
      <rPr>
        <sz val="11"/>
        <color theme="1"/>
        <rFont val="Calibri"/>
        <family val="2"/>
        <scheme val="minor"/>
      </rPr>
      <t xml:space="preserve"> - 1 + C- Cx</t>
    </r>
    <r>
      <rPr>
        <vertAlign val="subscript"/>
        <sz val="11"/>
        <color theme="1"/>
        <rFont val="Calibri"/>
        <family val="2"/>
        <scheme val="minor"/>
      </rPr>
      <t>2</t>
    </r>
    <r>
      <rPr>
        <vertAlign val="superscript"/>
        <sz val="11"/>
        <color theme="1"/>
        <rFont val="Calibri"/>
        <family val="2"/>
        <scheme val="minor"/>
      </rPr>
      <t>2</t>
    </r>
    <r>
      <rPr>
        <sz val="11"/>
        <color theme="1"/>
        <rFont val="Calibri"/>
        <family val="2"/>
        <scheme val="minor"/>
      </rPr>
      <t>))/(x</t>
    </r>
    <r>
      <rPr>
        <vertAlign val="subscript"/>
        <sz val="11"/>
        <color theme="1"/>
        <rFont val="Calibri"/>
        <family val="2"/>
        <scheme val="minor"/>
      </rPr>
      <t>2</t>
    </r>
    <r>
      <rPr>
        <sz val="11"/>
        <color theme="1"/>
        <rFont val="Calibri"/>
        <family val="2"/>
        <scheme val="minor"/>
      </rPr>
      <t xml:space="preserve"> - 1)</t>
    </r>
  </si>
  <si>
    <r>
      <t>A = (Y</t>
    </r>
    <r>
      <rPr>
        <vertAlign val="subscript"/>
        <sz val="11"/>
        <color theme="1"/>
        <rFont val="Calibri"/>
        <family val="2"/>
        <scheme val="minor"/>
      </rPr>
      <t>R2</t>
    </r>
    <r>
      <rPr>
        <sz val="11"/>
        <color theme="1"/>
        <rFont val="Calibri"/>
        <family val="2"/>
        <scheme val="minor"/>
      </rPr>
      <t xml:space="preserve"> - x</t>
    </r>
    <r>
      <rPr>
        <vertAlign val="subscript"/>
        <sz val="11"/>
        <color theme="1"/>
        <rFont val="Calibri"/>
        <family val="2"/>
        <scheme val="minor"/>
      </rPr>
      <t>2</t>
    </r>
    <r>
      <rPr>
        <sz val="11"/>
        <color theme="1"/>
        <rFont val="Calibri"/>
        <family val="2"/>
        <scheme val="minor"/>
      </rPr>
      <t xml:space="preserve"> + Cx</t>
    </r>
    <r>
      <rPr>
        <vertAlign val="subscript"/>
        <sz val="11"/>
        <color theme="1"/>
        <rFont val="Calibri"/>
        <family val="2"/>
        <scheme val="minor"/>
      </rPr>
      <t>2</t>
    </r>
    <r>
      <rPr>
        <sz val="11"/>
        <color theme="1"/>
        <rFont val="Calibri"/>
        <family val="2"/>
        <scheme val="minor"/>
      </rPr>
      <t xml:space="preserve"> - Cx</t>
    </r>
    <r>
      <rPr>
        <vertAlign val="subscript"/>
        <sz val="11"/>
        <color theme="1"/>
        <rFont val="Calibri"/>
        <family val="2"/>
        <scheme val="minor"/>
      </rPr>
      <t>2</t>
    </r>
    <r>
      <rPr>
        <vertAlign val="superscript"/>
        <sz val="11"/>
        <color theme="1"/>
        <rFont val="Calibri"/>
        <family val="2"/>
        <scheme val="minor"/>
      </rPr>
      <t>2</t>
    </r>
    <r>
      <rPr>
        <sz val="11"/>
        <color theme="1"/>
        <rFont val="Calibri"/>
        <family val="2"/>
        <scheme val="minor"/>
      </rPr>
      <t>)/(1-x</t>
    </r>
    <r>
      <rPr>
        <vertAlign val="subscript"/>
        <sz val="11"/>
        <color theme="1"/>
        <rFont val="Calibri"/>
        <family val="2"/>
        <scheme val="minor"/>
      </rPr>
      <t>2</t>
    </r>
    <r>
      <rPr>
        <sz val="11"/>
        <color theme="1"/>
        <rFont val="Calibri"/>
        <family val="2"/>
        <scheme val="minor"/>
      </rPr>
      <t>)</t>
    </r>
  </si>
  <si>
    <t>WPF as 2nd degree polynomial</t>
  </si>
  <si>
    <r>
      <t>Input Y</t>
    </r>
    <r>
      <rPr>
        <vertAlign val="subscript"/>
        <sz val="11"/>
        <color theme="1"/>
        <rFont val="Calibri"/>
        <family val="2"/>
        <scheme val="minor"/>
      </rPr>
      <t>R2</t>
    </r>
    <r>
      <rPr>
        <sz val="11"/>
        <color theme="1"/>
        <rFont val="Calibri"/>
        <family val="2"/>
        <scheme val="minor"/>
      </rPr>
      <t xml:space="preserve"> and x</t>
    </r>
    <r>
      <rPr>
        <vertAlign val="subscript"/>
        <sz val="11"/>
        <color theme="1"/>
        <rFont val="Calibri"/>
        <family val="2"/>
        <scheme val="minor"/>
      </rPr>
      <t>2</t>
    </r>
  </si>
  <si>
    <r>
      <t>Y</t>
    </r>
    <r>
      <rPr>
        <vertAlign val="subscript"/>
        <sz val="11"/>
        <color theme="1"/>
        <rFont val="Calibri"/>
        <family val="2"/>
        <scheme val="minor"/>
      </rPr>
      <t>R</t>
    </r>
  </si>
  <si>
    <r>
      <t>dY</t>
    </r>
    <r>
      <rPr>
        <vertAlign val="subscript"/>
        <sz val="11"/>
        <color theme="1"/>
        <rFont val="Calibri"/>
        <family val="2"/>
        <scheme val="minor"/>
      </rPr>
      <t>R</t>
    </r>
    <r>
      <rPr>
        <sz val="11"/>
        <color theme="1"/>
        <rFont val="Calibri"/>
        <family val="2"/>
        <scheme val="minor"/>
      </rPr>
      <t>/dx</t>
    </r>
  </si>
  <si>
    <r>
      <t>WP = Y</t>
    </r>
    <r>
      <rPr>
        <vertAlign val="subscript"/>
        <sz val="11"/>
        <color theme="1"/>
        <rFont val="Calibri"/>
        <family val="2"/>
        <scheme val="minor"/>
      </rPr>
      <t>R</t>
    </r>
    <r>
      <rPr>
        <sz val="11"/>
        <color theme="1"/>
        <rFont val="Calibri"/>
        <family val="2"/>
        <scheme val="minor"/>
      </rPr>
      <t>/x</t>
    </r>
  </si>
  <si>
    <r>
      <t>x = relative ET, Y</t>
    </r>
    <r>
      <rPr>
        <vertAlign val="subscript"/>
        <sz val="11"/>
        <color theme="1"/>
        <rFont val="Calibri"/>
        <family val="2"/>
        <scheme val="minor"/>
      </rPr>
      <t>R</t>
    </r>
    <r>
      <rPr>
        <sz val="11"/>
        <color theme="1"/>
        <rFont val="Calibri"/>
        <family val="2"/>
        <scheme val="minor"/>
      </rPr>
      <t xml:space="preserve"> = relative yield</t>
    </r>
  </si>
  <si>
    <r>
      <t>WP = Y</t>
    </r>
    <r>
      <rPr>
        <vertAlign val="subscript"/>
        <sz val="11"/>
        <color theme="1"/>
        <rFont val="Calibri"/>
        <family val="2"/>
        <scheme val="minor"/>
      </rPr>
      <t>R</t>
    </r>
    <r>
      <rPr>
        <sz val="11"/>
        <color theme="1"/>
        <rFont val="Calibri"/>
        <family val="2"/>
        <scheme val="minor"/>
      </rPr>
      <t>/x = A/x + B + Cx</t>
    </r>
  </si>
  <si>
    <r>
      <t>Water Productivity (WP) and Marginal Yield (MY</t>
    </r>
    <r>
      <rPr>
        <vertAlign val="subscript"/>
        <sz val="11"/>
        <color theme="1"/>
        <rFont val="Calibri"/>
        <family val="2"/>
        <scheme val="minor"/>
      </rPr>
      <t>R</t>
    </r>
    <r>
      <rPr>
        <sz val="11"/>
        <color theme="1"/>
        <rFont val="Calibri"/>
        <family val="2"/>
        <scheme val="minor"/>
      </rPr>
      <t>)</t>
    </r>
  </si>
  <si>
    <r>
      <t>MY</t>
    </r>
    <r>
      <rPr>
        <vertAlign val="subscript"/>
        <sz val="11"/>
        <color theme="1"/>
        <rFont val="Calibri"/>
        <family val="2"/>
        <scheme val="minor"/>
      </rPr>
      <t>R</t>
    </r>
    <r>
      <rPr>
        <sz val="11"/>
        <color theme="1"/>
        <rFont val="Calibri"/>
        <family val="2"/>
        <scheme val="minor"/>
      </rPr>
      <t xml:space="preserve"> = dY</t>
    </r>
    <r>
      <rPr>
        <vertAlign val="subscript"/>
        <sz val="11"/>
        <color theme="1"/>
        <rFont val="Calibri"/>
        <family val="2"/>
        <scheme val="minor"/>
      </rPr>
      <t>R</t>
    </r>
    <r>
      <rPr>
        <sz val="11"/>
        <color theme="1"/>
        <rFont val="Calibri"/>
        <family val="2"/>
        <scheme val="minor"/>
      </rPr>
      <t>/dx = B + 2Cx</t>
    </r>
  </si>
  <si>
    <r>
      <t>Y</t>
    </r>
    <r>
      <rPr>
        <vertAlign val="subscript"/>
        <sz val="11"/>
        <color theme="1"/>
        <rFont val="Calibri"/>
        <family val="2"/>
        <scheme val="minor"/>
      </rPr>
      <t>R</t>
    </r>
    <r>
      <rPr>
        <sz val="11"/>
        <color theme="1"/>
        <rFont val="Calibri"/>
        <family val="2"/>
        <scheme val="minor"/>
      </rPr>
      <t>= x</t>
    </r>
    <r>
      <rPr>
        <vertAlign val="subscript"/>
        <sz val="11"/>
        <color theme="1"/>
        <rFont val="Calibri"/>
        <family val="2"/>
        <scheme val="minor"/>
      </rPr>
      <t>0</t>
    </r>
    <r>
      <rPr>
        <sz val="11"/>
        <color theme="1"/>
        <rFont val="Calibri"/>
        <family val="2"/>
        <scheme val="minor"/>
      </rPr>
      <t>(C-1-Cx</t>
    </r>
    <r>
      <rPr>
        <vertAlign val="subscript"/>
        <sz val="11"/>
        <color theme="1"/>
        <rFont val="Calibri"/>
        <family val="2"/>
        <scheme val="minor"/>
      </rPr>
      <t>0</t>
    </r>
    <r>
      <rPr>
        <sz val="11"/>
        <color theme="1"/>
        <rFont val="Calibri"/>
        <family val="2"/>
        <scheme val="minor"/>
      </rPr>
      <t>)/(1-x</t>
    </r>
    <r>
      <rPr>
        <vertAlign val="subscript"/>
        <sz val="11"/>
        <color theme="1"/>
        <rFont val="Calibri"/>
        <family val="2"/>
        <scheme val="minor"/>
      </rPr>
      <t>0</t>
    </r>
    <r>
      <rPr>
        <sz val="11"/>
        <color theme="1"/>
        <rFont val="Calibri"/>
        <family val="2"/>
        <scheme val="minor"/>
      </rPr>
      <t>) + (1-C(1-x</t>
    </r>
    <r>
      <rPr>
        <vertAlign val="subscript"/>
        <sz val="11"/>
        <color theme="1"/>
        <rFont val="Calibri"/>
        <family val="2"/>
        <scheme val="minor"/>
      </rPr>
      <t>0</t>
    </r>
    <r>
      <rPr>
        <vertAlign val="superscript"/>
        <sz val="11"/>
        <color theme="1"/>
        <rFont val="Calibri"/>
        <family val="2"/>
        <scheme val="minor"/>
      </rPr>
      <t>2)</t>
    </r>
    <r>
      <rPr>
        <sz val="11"/>
        <color theme="1"/>
        <rFont val="Calibri"/>
        <family val="2"/>
        <scheme val="minor"/>
      </rPr>
      <t>)/(1-x</t>
    </r>
    <r>
      <rPr>
        <vertAlign val="subscript"/>
        <sz val="11"/>
        <color theme="1"/>
        <rFont val="Calibri"/>
        <family val="2"/>
        <scheme val="minor"/>
      </rPr>
      <t>0</t>
    </r>
    <r>
      <rPr>
        <sz val="11"/>
        <color theme="1"/>
        <rFont val="Calibri"/>
        <family val="2"/>
        <scheme val="minor"/>
      </rPr>
      <t>))x + Cx</t>
    </r>
    <r>
      <rPr>
        <vertAlign val="superscript"/>
        <sz val="11"/>
        <color theme="1"/>
        <rFont val="Calibri"/>
        <family val="2"/>
        <scheme val="minor"/>
      </rPr>
      <t>2</t>
    </r>
  </si>
  <si>
    <r>
      <t>dY</t>
    </r>
    <r>
      <rPr>
        <vertAlign val="subscript"/>
        <sz val="11"/>
        <color theme="1"/>
        <rFont val="Calibri"/>
        <family val="2"/>
        <scheme val="minor"/>
      </rPr>
      <t>R</t>
    </r>
    <r>
      <rPr>
        <sz val="11"/>
        <color theme="1"/>
        <rFont val="Calibri"/>
        <family val="2"/>
        <scheme val="minor"/>
      </rPr>
      <t>/dx = (1-C(1-x</t>
    </r>
    <r>
      <rPr>
        <vertAlign val="subscript"/>
        <sz val="11"/>
        <color theme="1"/>
        <rFont val="Calibri"/>
        <family val="2"/>
        <scheme val="minor"/>
      </rPr>
      <t>0</t>
    </r>
    <r>
      <rPr>
        <vertAlign val="superscript"/>
        <sz val="11"/>
        <color theme="1"/>
        <rFont val="Calibri"/>
        <family val="2"/>
        <scheme val="minor"/>
      </rPr>
      <t>2</t>
    </r>
    <r>
      <rPr>
        <sz val="11"/>
        <color theme="1"/>
        <rFont val="Calibri"/>
        <family val="2"/>
        <scheme val="minor"/>
      </rPr>
      <t>))/(1-x</t>
    </r>
    <r>
      <rPr>
        <vertAlign val="subscript"/>
        <sz val="11"/>
        <color theme="1"/>
        <rFont val="Calibri"/>
        <family val="2"/>
        <scheme val="minor"/>
      </rPr>
      <t>0</t>
    </r>
    <r>
      <rPr>
        <sz val="11"/>
        <color theme="1"/>
        <rFont val="Calibri"/>
        <family val="2"/>
        <scheme val="minor"/>
      </rPr>
      <t>) + 2Cx</t>
    </r>
  </si>
  <si>
    <r>
      <t>Y</t>
    </r>
    <r>
      <rPr>
        <vertAlign val="subscript"/>
        <sz val="11"/>
        <color theme="1"/>
        <rFont val="Calibri"/>
        <family val="2"/>
        <scheme val="minor"/>
      </rPr>
      <t>R</t>
    </r>
    <r>
      <rPr>
        <sz val="11"/>
        <color theme="1"/>
        <rFont val="Calibri"/>
        <family val="2"/>
        <scheme val="minor"/>
      </rPr>
      <t>/x= x</t>
    </r>
    <r>
      <rPr>
        <vertAlign val="subscript"/>
        <sz val="11"/>
        <color theme="1"/>
        <rFont val="Calibri"/>
        <family val="2"/>
        <scheme val="minor"/>
      </rPr>
      <t>0</t>
    </r>
    <r>
      <rPr>
        <sz val="11"/>
        <color theme="1"/>
        <rFont val="Calibri"/>
        <family val="2"/>
        <scheme val="minor"/>
      </rPr>
      <t>(C-1-Cx</t>
    </r>
    <r>
      <rPr>
        <vertAlign val="subscript"/>
        <sz val="11"/>
        <color theme="1"/>
        <rFont val="Calibri"/>
        <family val="2"/>
        <scheme val="minor"/>
      </rPr>
      <t>0</t>
    </r>
    <r>
      <rPr>
        <sz val="11"/>
        <color theme="1"/>
        <rFont val="Calibri"/>
        <family val="2"/>
        <scheme val="minor"/>
      </rPr>
      <t>)/((1-x</t>
    </r>
    <r>
      <rPr>
        <vertAlign val="subscript"/>
        <sz val="11"/>
        <color theme="1"/>
        <rFont val="Calibri"/>
        <family val="2"/>
        <scheme val="minor"/>
      </rPr>
      <t>0</t>
    </r>
    <r>
      <rPr>
        <sz val="11"/>
        <color theme="1"/>
        <rFont val="Calibri"/>
        <family val="2"/>
        <scheme val="minor"/>
      </rPr>
      <t>)x) + (1-C(1-x</t>
    </r>
    <r>
      <rPr>
        <vertAlign val="subscript"/>
        <sz val="11"/>
        <color theme="1"/>
        <rFont val="Calibri"/>
        <family val="2"/>
        <scheme val="minor"/>
      </rPr>
      <t>0</t>
    </r>
    <r>
      <rPr>
        <vertAlign val="superscript"/>
        <sz val="11"/>
        <color theme="1"/>
        <rFont val="Calibri"/>
        <family val="2"/>
        <scheme val="minor"/>
      </rPr>
      <t>2</t>
    </r>
    <r>
      <rPr>
        <sz val="11"/>
        <color theme="1"/>
        <rFont val="Calibri"/>
        <family val="2"/>
        <scheme val="minor"/>
      </rPr>
      <t>))/(1-x</t>
    </r>
    <r>
      <rPr>
        <vertAlign val="subscript"/>
        <sz val="11"/>
        <color theme="1"/>
        <rFont val="Calibri"/>
        <family val="2"/>
        <scheme val="minor"/>
      </rPr>
      <t>0</t>
    </r>
    <r>
      <rPr>
        <sz val="11"/>
        <color theme="1"/>
        <rFont val="Calibri"/>
        <family val="2"/>
        <scheme val="minor"/>
      </rPr>
      <t>)) + Cx</t>
    </r>
  </si>
  <si>
    <r>
      <t>for x</t>
    </r>
    <r>
      <rPr>
        <b/>
        <vertAlign val="subscript"/>
        <sz val="11"/>
        <color theme="1"/>
        <rFont val="Calibri"/>
        <family val="2"/>
        <scheme val="minor"/>
      </rPr>
      <t>2</t>
    </r>
    <r>
      <rPr>
        <b/>
        <sz val="11"/>
        <color theme="1"/>
        <rFont val="Calibri"/>
        <family val="2"/>
        <scheme val="minor"/>
      </rPr>
      <t xml:space="preserve"> = x</t>
    </r>
    <r>
      <rPr>
        <b/>
        <vertAlign val="subscript"/>
        <sz val="11"/>
        <color theme="1"/>
        <rFont val="Calibri"/>
        <family val="2"/>
        <scheme val="minor"/>
      </rPr>
      <t>0</t>
    </r>
    <r>
      <rPr>
        <b/>
        <sz val="11"/>
        <color theme="1"/>
        <rFont val="Calibri"/>
        <family val="2"/>
        <scheme val="minor"/>
      </rPr>
      <t xml:space="preserve"> ,</t>
    </r>
    <r>
      <rPr>
        <b/>
        <i/>
        <vertAlign val="subscript"/>
        <sz val="11"/>
        <color theme="1"/>
        <rFont val="Calibri"/>
        <family val="2"/>
        <scheme val="minor"/>
      </rPr>
      <t xml:space="preserve"> </t>
    </r>
    <r>
      <rPr>
        <b/>
        <sz val="11"/>
        <color theme="1"/>
        <rFont val="Calibri"/>
        <family val="2"/>
        <scheme val="minor"/>
      </rPr>
      <t>Y</t>
    </r>
    <r>
      <rPr>
        <b/>
        <vertAlign val="subscript"/>
        <sz val="11"/>
        <color theme="1"/>
        <rFont val="Calibri"/>
        <family val="2"/>
        <scheme val="minor"/>
      </rPr>
      <t>R2</t>
    </r>
    <r>
      <rPr>
        <b/>
        <sz val="11"/>
        <color theme="1"/>
        <rFont val="Calibri"/>
        <family val="2"/>
        <scheme val="minor"/>
      </rPr>
      <t xml:space="preserve"> = 0</t>
    </r>
  </si>
  <si>
    <r>
      <t>Comparison of curvilinearity as a function of C and x</t>
    </r>
    <r>
      <rPr>
        <b/>
        <vertAlign val="subscript"/>
        <sz val="11"/>
        <color theme="1"/>
        <rFont val="Calibri"/>
        <family val="2"/>
        <scheme val="minor"/>
      </rPr>
      <t>0</t>
    </r>
  </si>
  <si>
    <t>Through algebraic manipulation of the normalized WPF, the water productivity (WP = Y/ET) and  the marginal WPF (derivative of WPF)are derived and shown on graphs (b) and (c).  The relative ET value is determined that gives the maximum WP,  and the minimum relative ET that produces WP&gt;1 (the lower end of the range for which WP&gt;1).  These points are shown on the WPF graph.  For deficit irrigation to be potentially beneficial, the marginal WPF should be less than or equal to 1 at x = 1   (C &gt; (1-B)/2).</t>
  </si>
  <si>
    <r>
      <t>Es = min(H + Jx + Kx</t>
    </r>
    <r>
      <rPr>
        <vertAlign val="superscript"/>
        <sz val="11"/>
        <color theme="1"/>
        <rFont val="Calibri"/>
        <family val="2"/>
        <scheme val="minor"/>
      </rPr>
      <t>2</t>
    </r>
    <r>
      <rPr>
        <sz val="11"/>
        <color theme="1"/>
        <rFont val="Calibri"/>
        <family val="2"/>
        <scheme val="minor"/>
      </rPr>
      <t xml:space="preserve"> ,1)</t>
    </r>
  </si>
  <si>
    <r>
      <t>Er = min(D + Fx + Gx</t>
    </r>
    <r>
      <rPr>
        <vertAlign val="superscript"/>
        <sz val="11"/>
        <color theme="1"/>
        <rFont val="Calibri"/>
        <family val="2"/>
        <scheme val="minor"/>
      </rPr>
      <t>2</t>
    </r>
    <r>
      <rPr>
        <sz val="11"/>
        <color theme="1"/>
        <rFont val="Calibri"/>
        <family val="2"/>
        <scheme val="minor"/>
      </rPr>
      <t xml:space="preserve"> ,1)</t>
    </r>
  </si>
  <si>
    <r>
      <t>Ei = min(L + Mx + Nx</t>
    </r>
    <r>
      <rPr>
        <vertAlign val="superscript"/>
        <sz val="11"/>
        <color theme="1"/>
        <rFont val="Calibri"/>
        <family val="2"/>
        <scheme val="minor"/>
      </rPr>
      <t>2</t>
    </r>
    <r>
      <rPr>
        <sz val="11"/>
        <color theme="1"/>
        <rFont val="Calibri"/>
        <family val="2"/>
        <scheme val="minor"/>
      </rPr>
      <t xml:space="preserve"> ,1)</t>
    </r>
  </si>
  <si>
    <t>R=</t>
  </si>
  <si>
    <t>S=</t>
  </si>
  <si>
    <r>
      <t>I</t>
    </r>
    <r>
      <rPr>
        <b/>
        <vertAlign val="subscript"/>
        <sz val="11"/>
        <color theme="1"/>
        <rFont val="Calibri"/>
        <family val="2"/>
        <scheme val="minor"/>
      </rPr>
      <t>S</t>
    </r>
    <r>
      <rPr>
        <b/>
        <sz val="11"/>
        <color theme="1"/>
        <rFont val="Calibri"/>
        <family val="2"/>
        <scheme val="minor"/>
      </rPr>
      <t xml:space="preserve"> = I</t>
    </r>
    <r>
      <rPr>
        <b/>
        <vertAlign val="subscript"/>
        <sz val="11"/>
        <color theme="1"/>
        <rFont val="Calibri"/>
        <family val="2"/>
        <scheme val="minor"/>
      </rPr>
      <t>R</t>
    </r>
    <r>
      <rPr>
        <b/>
        <sz val="11"/>
        <color theme="1"/>
        <rFont val="Calibri"/>
        <family val="2"/>
        <scheme val="minor"/>
      </rPr>
      <t>/Ei</t>
    </r>
  </si>
  <si>
    <r>
      <t>I</t>
    </r>
    <r>
      <rPr>
        <b/>
        <vertAlign val="subscript"/>
        <sz val="11"/>
        <color theme="1"/>
        <rFont val="Calibri"/>
        <family val="2"/>
        <scheme val="minor"/>
      </rPr>
      <t>R</t>
    </r>
  </si>
  <si>
    <r>
      <t>Irrigation Requirement and Supply; Production Functions:  Y vs. ET, I</t>
    </r>
    <r>
      <rPr>
        <b/>
        <vertAlign val="subscript"/>
        <sz val="11"/>
        <color theme="1"/>
        <rFont val="Calibri"/>
        <family val="2"/>
        <scheme val="minor"/>
      </rPr>
      <t>R</t>
    </r>
    <r>
      <rPr>
        <b/>
        <sz val="11"/>
        <color theme="1"/>
        <rFont val="Calibri"/>
        <family val="2"/>
        <scheme val="minor"/>
      </rPr>
      <t>, and I</t>
    </r>
    <r>
      <rPr>
        <b/>
        <vertAlign val="subscript"/>
        <sz val="11"/>
        <color theme="1"/>
        <rFont val="Calibri"/>
        <family val="2"/>
        <scheme val="minor"/>
      </rPr>
      <t>S</t>
    </r>
  </si>
  <si>
    <r>
      <t xml:space="preserve">R </t>
    </r>
    <r>
      <rPr>
        <i/>
        <sz val="11"/>
        <color theme="1"/>
        <rFont val="Calibri"/>
        <family val="2"/>
        <scheme val="minor"/>
      </rPr>
      <t>(mm)</t>
    </r>
  </si>
  <si>
    <r>
      <t>S</t>
    </r>
    <r>
      <rPr>
        <i/>
        <sz val="11"/>
        <color theme="1"/>
        <rFont val="Calibri"/>
        <family val="2"/>
        <scheme val="minor"/>
      </rPr>
      <t xml:space="preserve"> (mm)</t>
    </r>
  </si>
  <si>
    <t>Max NI</t>
  </si>
  <si>
    <t>Numeric Solution (+-0.01)</t>
  </si>
  <si>
    <t>NI(x)</t>
  </si>
  <si>
    <t>(Net Income as a function of relative ET)</t>
  </si>
  <si>
    <t>Coefficients</t>
  </si>
  <si>
    <t>Effective Storage, Se</t>
  </si>
  <si>
    <r>
      <t>Y</t>
    </r>
    <r>
      <rPr>
        <b/>
        <vertAlign val="subscript"/>
        <sz val="11"/>
        <color theme="1"/>
        <rFont val="Calibri"/>
        <family val="2"/>
        <scheme val="minor"/>
      </rPr>
      <t>R</t>
    </r>
  </si>
  <si>
    <t>General Comment</t>
  </si>
  <si>
    <t>Ws</t>
  </si>
  <si>
    <r>
      <rPr>
        <i/>
        <sz val="11"/>
        <color theme="1"/>
        <rFont val="Calibri"/>
        <family val="2"/>
        <scheme val="minor"/>
      </rPr>
      <t>Y</t>
    </r>
    <r>
      <rPr>
        <i/>
        <vertAlign val="subscript"/>
        <sz val="11"/>
        <color theme="1"/>
        <rFont val="Calibri"/>
        <family val="2"/>
        <scheme val="minor"/>
      </rPr>
      <t>R2</t>
    </r>
    <r>
      <rPr>
        <vertAlign val="subscript"/>
        <sz val="11"/>
        <color theme="1"/>
        <rFont val="Calibri"/>
        <family val="2"/>
        <scheme val="minor"/>
      </rPr>
      <t xml:space="preserve"> </t>
    </r>
    <r>
      <rPr>
        <sz val="11"/>
        <color theme="1"/>
        <rFont val="Calibri"/>
        <family val="2"/>
        <scheme val="minor"/>
      </rPr>
      <t>=</t>
    </r>
  </si>
  <si>
    <t>NI Irrig</t>
  </si>
  <si>
    <t>Ai</t>
  </si>
  <si>
    <t>fraction</t>
  </si>
  <si>
    <t>Ar</t>
  </si>
  <si>
    <t>NI Total</t>
  </si>
  <si>
    <t>Rainfed Relative ET</t>
  </si>
  <si>
    <t xml:space="preserve">Parameters from </t>
  </si>
  <si>
    <t>prev. worksheets</t>
  </si>
  <si>
    <t xml:space="preserve">Quadratic </t>
  </si>
  <si>
    <t>NI Rainfed</t>
  </si>
  <si>
    <t>Rainfed Yield</t>
  </si>
  <si>
    <t>Rainfed Yield (Iterative Solution)</t>
  </si>
  <si>
    <t>Effective Precip, Re</t>
  </si>
  <si>
    <r>
      <rPr>
        <sz val="11"/>
        <color theme="1"/>
        <rFont val="Calibri"/>
        <family val="2"/>
        <scheme val="minor"/>
      </rPr>
      <t>ETp</t>
    </r>
    <r>
      <rPr>
        <i/>
        <sz val="11"/>
        <color theme="1"/>
        <rFont val="Calibri"/>
        <family val="2"/>
        <scheme val="minor"/>
      </rPr>
      <t xml:space="preserve"> (mm</t>
    </r>
  </si>
  <si>
    <t>Max NI Irr.</t>
  </si>
  <si>
    <t>Rainfed ET</t>
  </si>
  <si>
    <t>Pyi ($/kg)</t>
  </si>
  <si>
    <t>Pyi*Yi</t>
  </si>
  <si>
    <t>cyi ($/kg)</t>
  </si>
  <si>
    <r>
      <t>ci ($/m</t>
    </r>
    <r>
      <rPr>
        <vertAlign val="superscript"/>
        <sz val="11"/>
        <color theme="1"/>
        <rFont val="Calibri"/>
        <family val="2"/>
        <scheme val="minor"/>
      </rPr>
      <t>3</t>
    </r>
    <r>
      <rPr>
        <sz val="11"/>
        <color theme="1"/>
        <rFont val="Calibri"/>
        <family val="2"/>
        <scheme val="minor"/>
      </rPr>
      <t>)</t>
    </r>
  </si>
  <si>
    <t>cyi*Yi</t>
  </si>
  <si>
    <t>cyr ($/ha)</t>
  </si>
  <si>
    <t>cAi ($/ha)</t>
  </si>
  <si>
    <t>Cost</t>
  </si>
  <si>
    <r>
      <t xml:space="preserve">Ypi </t>
    </r>
    <r>
      <rPr>
        <i/>
        <sz val="11"/>
        <color theme="1"/>
        <rFont val="Calibri"/>
        <family val="2"/>
        <scheme val="minor"/>
      </rPr>
      <t>(bu/ac)</t>
    </r>
  </si>
  <si>
    <t>Pyi ($/bu)</t>
  </si>
  <si>
    <r>
      <t xml:space="preserve">W </t>
    </r>
    <r>
      <rPr>
        <i/>
        <sz val="11"/>
        <color theme="1"/>
        <rFont val="Calibri"/>
        <family val="2"/>
        <scheme val="minor"/>
      </rPr>
      <t>(mm)</t>
    </r>
  </si>
  <si>
    <r>
      <t xml:space="preserve">W </t>
    </r>
    <r>
      <rPr>
        <i/>
        <sz val="11"/>
        <color theme="1"/>
        <rFont val="Calibri"/>
        <family val="2"/>
        <scheme val="minor"/>
      </rPr>
      <t>(in)</t>
    </r>
  </si>
  <si>
    <t>cyi ($/bu)</t>
  </si>
  <si>
    <t>cAi ($/ac)</t>
  </si>
  <si>
    <t>ci ($/ac-ft)</t>
  </si>
  <si>
    <t>cyr ($/ac)</t>
  </si>
  <si>
    <t>Net Income Economic Model I:  Unlimited water</t>
  </si>
  <si>
    <t>I</t>
  </si>
  <si>
    <t>I @ Nimax</t>
  </si>
  <si>
    <t>xop @ Nimax</t>
  </si>
  <si>
    <t>ci*I</t>
  </si>
  <si>
    <r>
      <rPr>
        <sz val="11"/>
        <color theme="1"/>
        <rFont val="Calibri"/>
        <family val="2"/>
        <scheme val="minor"/>
      </rPr>
      <t>ETp</t>
    </r>
    <r>
      <rPr>
        <i/>
        <sz val="11"/>
        <color theme="1"/>
        <rFont val="Calibri"/>
        <family val="2"/>
        <scheme val="minor"/>
      </rPr>
      <t xml:space="preserve"> (mm</t>
    </r>
    <r>
      <rPr>
        <sz val="11"/>
        <color theme="1"/>
        <rFont val="Calibri"/>
        <family val="2"/>
        <scheme val="minor"/>
      </rPr>
      <t>)</t>
    </r>
  </si>
  <si>
    <r>
      <t>k</t>
    </r>
    <r>
      <rPr>
        <vertAlign val="subscript"/>
        <sz val="11"/>
        <color theme="1"/>
        <rFont val="Calibri"/>
        <family val="2"/>
        <scheme val="minor"/>
      </rPr>
      <t>0</t>
    </r>
    <r>
      <rPr>
        <sz val="11"/>
        <color theme="1"/>
        <rFont val="Calibri"/>
        <family val="2"/>
        <scheme val="minor"/>
      </rPr>
      <t>=</t>
    </r>
  </si>
  <si>
    <r>
      <t>k</t>
    </r>
    <r>
      <rPr>
        <vertAlign val="subscript"/>
        <sz val="11"/>
        <color theme="1"/>
        <rFont val="Calibri"/>
        <family val="2"/>
        <scheme val="minor"/>
      </rPr>
      <t>1</t>
    </r>
    <r>
      <rPr>
        <sz val="11"/>
        <color theme="1"/>
        <rFont val="Calibri"/>
        <family val="2"/>
        <scheme val="minor"/>
      </rPr>
      <t>=</t>
    </r>
  </si>
  <si>
    <r>
      <t>k</t>
    </r>
    <r>
      <rPr>
        <vertAlign val="subscript"/>
        <sz val="11"/>
        <color theme="1"/>
        <rFont val="Calibri"/>
        <family val="2"/>
        <scheme val="minor"/>
      </rPr>
      <t>2</t>
    </r>
    <r>
      <rPr>
        <sz val="11"/>
        <color theme="1"/>
        <rFont val="Calibri"/>
        <family val="2"/>
        <scheme val="minor"/>
      </rPr>
      <t>=</t>
    </r>
  </si>
  <si>
    <r>
      <rPr>
        <sz val="11"/>
        <color theme="1"/>
        <rFont val="Calibri"/>
        <family val="2"/>
        <scheme val="minor"/>
      </rPr>
      <t>Ym</t>
    </r>
    <r>
      <rPr>
        <i/>
        <sz val="11"/>
        <color theme="1"/>
        <rFont val="Calibri"/>
        <family val="2"/>
        <scheme val="minor"/>
      </rPr>
      <t xml:space="preserve"> (kg/ha)</t>
    </r>
  </si>
  <si>
    <t>from Trout and Manning (2019), App. 1</t>
  </si>
  <si>
    <t>from Trout and Manning (2019)</t>
  </si>
  <si>
    <t>Yi</t>
  </si>
  <si>
    <t>cAr ($)</t>
  </si>
  <si>
    <r>
      <t>Net Income = (Pyi*</t>
    </r>
    <r>
      <rPr>
        <i/>
        <sz val="11"/>
        <color theme="1"/>
        <rFont val="Calibri"/>
        <family val="2"/>
        <scheme val="minor"/>
      </rPr>
      <t>Yi - ci*I</t>
    </r>
    <r>
      <rPr>
        <sz val="11"/>
        <color theme="1"/>
        <rFont val="Calibri"/>
        <family val="2"/>
        <scheme val="minor"/>
      </rPr>
      <t xml:space="preserve"> - cyi*Yi - cAi)*Ai + (Pyr*Yr - cyr*Yr - cAr)*(1-Ai)</t>
    </r>
  </si>
  <si>
    <t>cAi ($)</t>
  </si>
  <si>
    <r>
      <t>Net Income = Pyi*</t>
    </r>
    <r>
      <rPr>
        <i/>
        <sz val="11"/>
        <color theme="1"/>
        <rFont val="Calibri"/>
        <family val="2"/>
        <scheme val="minor"/>
      </rPr>
      <t>Yi</t>
    </r>
    <r>
      <rPr>
        <sz val="11"/>
        <color theme="1"/>
        <rFont val="Calibri"/>
        <family val="2"/>
        <scheme val="minor"/>
      </rPr>
      <t xml:space="preserve"> - cyi*Yi - ci*I - cAi</t>
    </r>
  </si>
  <si>
    <r>
      <t>d(Y</t>
    </r>
    <r>
      <rPr>
        <b/>
        <vertAlign val="subscript"/>
        <sz val="11"/>
        <color theme="1"/>
        <rFont val="Calibri"/>
        <family val="2"/>
        <scheme val="minor"/>
      </rPr>
      <t>R</t>
    </r>
    <r>
      <rPr>
        <b/>
        <sz val="11"/>
        <color theme="1"/>
        <rFont val="Calibri"/>
        <family val="2"/>
        <scheme val="minor"/>
      </rPr>
      <t>)/d(I) = k</t>
    </r>
    <r>
      <rPr>
        <b/>
        <vertAlign val="subscript"/>
        <sz val="11"/>
        <color theme="1"/>
        <rFont val="Calibri"/>
        <family val="2"/>
        <scheme val="minor"/>
      </rPr>
      <t>1</t>
    </r>
    <r>
      <rPr>
        <b/>
        <sz val="11"/>
        <color theme="1"/>
        <rFont val="Calibri"/>
        <family val="2"/>
        <scheme val="minor"/>
      </rPr>
      <t>+2k</t>
    </r>
    <r>
      <rPr>
        <b/>
        <vertAlign val="subscript"/>
        <sz val="11"/>
        <color theme="1"/>
        <rFont val="Calibri"/>
        <family val="2"/>
        <scheme val="minor"/>
      </rPr>
      <t>2</t>
    </r>
    <r>
      <rPr>
        <b/>
        <sz val="11"/>
        <color theme="1"/>
        <rFont val="Calibri"/>
        <family val="2"/>
        <scheme val="minor"/>
      </rPr>
      <t>I</t>
    </r>
  </si>
  <si>
    <t>I-opt</t>
  </si>
  <si>
    <r>
      <t>I</t>
    </r>
    <r>
      <rPr>
        <vertAlign val="subscript"/>
        <sz val="11"/>
        <color theme="1"/>
        <rFont val="Calibri"/>
        <family val="2"/>
        <scheme val="minor"/>
      </rPr>
      <t>M</t>
    </r>
    <r>
      <rPr>
        <sz val="11"/>
        <color theme="1"/>
        <rFont val="Calibri"/>
        <family val="2"/>
        <scheme val="minor"/>
      </rPr>
      <t xml:space="preserve"> full (mm)</t>
    </r>
  </si>
  <si>
    <r>
      <t>I</t>
    </r>
    <r>
      <rPr>
        <vertAlign val="subscript"/>
        <sz val="11"/>
        <color theme="1"/>
        <rFont val="Calibri"/>
        <family val="2"/>
        <scheme val="minor"/>
      </rPr>
      <t>M</t>
    </r>
    <r>
      <rPr>
        <sz val="11"/>
        <color theme="1"/>
        <rFont val="Calibri"/>
        <family val="2"/>
        <scheme val="minor"/>
      </rPr>
      <t xml:space="preserve"> full (in)</t>
    </r>
  </si>
  <si>
    <t>Pyr ($/kg)</t>
  </si>
  <si>
    <t>Pyr ($/bu)</t>
  </si>
  <si>
    <t>Prices and Costs</t>
  </si>
  <si>
    <r>
      <t>k</t>
    </r>
    <r>
      <rPr>
        <vertAlign val="subscript"/>
        <sz val="11"/>
        <color theme="1"/>
        <rFont val="Calibri"/>
        <family val="2"/>
        <scheme val="minor"/>
      </rPr>
      <t>0</t>
    </r>
    <r>
      <rPr>
        <sz val="11"/>
        <color theme="1"/>
        <rFont val="Calibri"/>
        <family val="2"/>
        <scheme val="minor"/>
      </rPr>
      <t xml:space="preserve"> =</t>
    </r>
  </si>
  <si>
    <r>
      <t>k</t>
    </r>
    <r>
      <rPr>
        <vertAlign val="subscript"/>
        <sz val="11"/>
        <color theme="1"/>
        <rFont val="Calibri"/>
        <family val="2"/>
        <scheme val="minor"/>
      </rPr>
      <t>1</t>
    </r>
    <r>
      <rPr>
        <sz val="11"/>
        <color theme="1"/>
        <rFont val="Calibri"/>
        <family val="2"/>
        <scheme val="minor"/>
      </rPr>
      <t xml:space="preserve"> =</t>
    </r>
  </si>
  <si>
    <r>
      <t>k</t>
    </r>
    <r>
      <rPr>
        <vertAlign val="subscript"/>
        <sz val="11"/>
        <color theme="1"/>
        <rFont val="Calibri"/>
        <family val="2"/>
        <scheme val="minor"/>
      </rPr>
      <t>2</t>
    </r>
    <r>
      <rPr>
        <sz val="11"/>
        <color theme="1"/>
        <rFont val="Calibri"/>
        <family val="2"/>
        <scheme val="minor"/>
      </rPr>
      <t xml:space="preserve"> =</t>
    </r>
  </si>
  <si>
    <t>Yr</t>
  </si>
  <si>
    <t>Ai opt</t>
  </si>
  <si>
    <t>Numeric Optimum</t>
  </si>
  <si>
    <r>
      <t>UnlWaterNI: Net Income Economic Model based an Adequate Irrigation Supply</t>
    </r>
    <r>
      <rPr>
        <sz val="11"/>
        <color theme="1"/>
        <rFont val="Calibri"/>
        <family val="2"/>
        <scheme val="minor"/>
      </rPr>
      <t xml:space="preserve"> (unit area basis) (5 input parameters)</t>
    </r>
  </si>
  <si>
    <r>
      <t xml:space="preserve">WatLimNI:  Net Income Economic Model based on limited water supply </t>
    </r>
    <r>
      <rPr>
        <sz val="11"/>
        <color theme="1"/>
        <rFont val="Calibri"/>
        <family val="2"/>
        <scheme val="minor"/>
      </rPr>
      <t>(unit area basis) (10 input parameters)</t>
    </r>
  </si>
  <si>
    <t>Yield at full irrigation, Ym, and the available irrigation water supply;, W, are input into highlighted cells in Row 6.  Yield price and three costs of production for the irrigated crop are input into the highlighted cells in Row 6 and applied to Y and I to calculate NI per unit area for the irrigated crop. Likewise, a price and two production costs are input into the highlighted cells in Row 6 and applied to the expected rainfed yield, Yr, to calculate NI per unit area of the un-irrigated crop.   The expected yield of the unirrigated crop is input into cell I19.  The worksheet provides an expected rainfed crop yield (cell N14) based on the y-intercept (I = 0) of the IWPF of the irrigated crop.  The worksheet then calculates the expected (constant) NI per unit area of the rainfed crop (cells I20, I21).</t>
  </si>
  <si>
    <t>This spreadsheet is a model that is described in detail in:  Trout, T.J. and D.T. Manning  (2019)  An economic and biophysical model of deficit irrigation.  Agron. J. 111:1–12.  doi:10.2134/agronj2019.03.0209  , and Trout et al. (2020)  Managed Deficit Irrigation. Trans ASABE.  Those publications define terms and develop the equations used in the spreadsheet.</t>
  </si>
  <si>
    <t>Beta</t>
  </si>
  <si>
    <r>
      <t>I</t>
    </r>
    <r>
      <rPr>
        <vertAlign val="subscript"/>
        <sz val="11"/>
        <color theme="1"/>
        <rFont val="Calibri"/>
        <family val="2"/>
        <scheme val="minor"/>
      </rPr>
      <t>sr</t>
    </r>
  </si>
  <si>
    <r>
      <t>Y</t>
    </r>
    <r>
      <rPr>
        <vertAlign val="subscript"/>
        <sz val="11"/>
        <color theme="1"/>
        <rFont val="Calibri"/>
        <family val="2"/>
        <scheme val="minor"/>
      </rPr>
      <t>r</t>
    </r>
  </si>
  <si>
    <r>
      <t>k</t>
    </r>
    <r>
      <rPr>
        <vertAlign val="subscript"/>
        <sz val="11"/>
        <color theme="1"/>
        <rFont val="Calibri"/>
        <family val="2"/>
        <scheme val="minor"/>
      </rPr>
      <t>2</t>
    </r>
  </si>
  <si>
    <r>
      <t>k</t>
    </r>
    <r>
      <rPr>
        <vertAlign val="subscript"/>
        <sz val="11"/>
        <color theme="1"/>
        <rFont val="Calibri"/>
        <family val="2"/>
        <scheme val="minor"/>
      </rPr>
      <t>1</t>
    </r>
  </si>
  <si>
    <r>
      <t>Y</t>
    </r>
    <r>
      <rPr>
        <vertAlign val="subscript"/>
        <sz val="11"/>
        <color theme="1"/>
        <rFont val="Calibri"/>
        <family val="2"/>
        <scheme val="minor"/>
      </rPr>
      <t>d</t>
    </r>
  </si>
  <si>
    <r>
      <t>ET</t>
    </r>
    <r>
      <rPr>
        <vertAlign val="subscript"/>
        <sz val="11"/>
        <color theme="1"/>
        <rFont val="Calibri"/>
        <family val="2"/>
        <scheme val="minor"/>
      </rPr>
      <t>d</t>
    </r>
  </si>
  <si>
    <r>
      <t>Y=Y</t>
    </r>
    <r>
      <rPr>
        <vertAlign val="subscript"/>
        <sz val="11"/>
        <color theme="1"/>
        <rFont val="Calibri"/>
        <family val="2"/>
        <scheme val="minor"/>
      </rPr>
      <t>d</t>
    </r>
    <r>
      <rPr>
        <sz val="11"/>
        <color theme="1"/>
        <rFont val="Calibri"/>
        <family val="2"/>
        <scheme val="minor"/>
      </rPr>
      <t>+(Y</t>
    </r>
    <r>
      <rPr>
        <vertAlign val="subscript"/>
        <sz val="11"/>
        <color theme="1"/>
        <rFont val="Calibri"/>
        <family val="2"/>
        <scheme val="minor"/>
      </rPr>
      <t>M</t>
    </r>
    <r>
      <rPr>
        <sz val="11"/>
        <color theme="1"/>
        <rFont val="Calibri"/>
        <family val="2"/>
        <scheme val="minor"/>
      </rPr>
      <t>-Y</t>
    </r>
    <r>
      <rPr>
        <vertAlign val="subscript"/>
        <sz val="11"/>
        <color theme="1"/>
        <rFont val="Calibri"/>
        <family val="2"/>
        <scheme val="minor"/>
      </rPr>
      <t>d</t>
    </r>
    <r>
      <rPr>
        <sz val="11"/>
        <color theme="1"/>
        <rFont val="Calibri"/>
        <family val="2"/>
        <scheme val="minor"/>
      </rPr>
      <t>)[1-(1-I</t>
    </r>
    <r>
      <rPr>
        <vertAlign val="subscript"/>
        <sz val="11"/>
        <color theme="1"/>
        <rFont val="Calibri"/>
        <family val="2"/>
        <scheme val="minor"/>
      </rPr>
      <t>r</t>
    </r>
    <r>
      <rPr>
        <sz val="11"/>
        <color theme="1"/>
        <rFont val="Calibri"/>
        <family val="2"/>
        <scheme val="minor"/>
      </rPr>
      <t>)</t>
    </r>
    <r>
      <rPr>
        <vertAlign val="superscript"/>
        <sz val="11"/>
        <color theme="1"/>
        <rFont val="Calibri"/>
        <family val="2"/>
        <scheme val="minor"/>
      </rPr>
      <t>B</t>
    </r>
    <r>
      <rPr>
        <sz val="11"/>
        <color theme="1"/>
        <rFont val="Calibri"/>
        <family val="2"/>
        <scheme val="minor"/>
      </rPr>
      <t>]</t>
    </r>
  </si>
  <si>
    <r>
      <t>B=(ET</t>
    </r>
    <r>
      <rPr>
        <vertAlign val="subscript"/>
        <sz val="11"/>
        <color theme="1"/>
        <rFont val="Calibri"/>
        <family val="2"/>
        <scheme val="minor"/>
      </rPr>
      <t>M</t>
    </r>
    <r>
      <rPr>
        <sz val="11"/>
        <color theme="1"/>
        <rFont val="Calibri"/>
        <family val="2"/>
        <scheme val="minor"/>
      </rPr>
      <t>-ET</t>
    </r>
    <r>
      <rPr>
        <vertAlign val="subscript"/>
        <sz val="11"/>
        <color theme="1"/>
        <rFont val="Calibri"/>
        <family val="2"/>
        <scheme val="minor"/>
      </rPr>
      <t>d</t>
    </r>
    <r>
      <rPr>
        <sz val="11"/>
        <color theme="1"/>
        <rFont val="Calibri"/>
        <family val="2"/>
        <scheme val="minor"/>
      </rPr>
      <t>)/I</t>
    </r>
    <r>
      <rPr>
        <vertAlign val="subscript"/>
        <sz val="11"/>
        <color theme="1"/>
        <rFont val="Calibri"/>
        <family val="2"/>
        <scheme val="minor"/>
      </rPr>
      <t>M</t>
    </r>
  </si>
  <si>
    <t>IWPF Power Curve Model (Cobb-Douglas)</t>
  </si>
  <si>
    <t>(Pyr-cyr)*Yr</t>
  </si>
  <si>
    <t>cAr</t>
  </si>
  <si>
    <t>IWPF Quadratic Model: relative yield</t>
  </si>
  <si>
    <t>Quadratic and Power Curve Model of the IWPF</t>
  </si>
  <si>
    <r>
      <t>k</t>
    </r>
    <r>
      <rPr>
        <vertAlign val="subscript"/>
        <sz val="11"/>
        <color theme="1"/>
        <rFont val="Calibri"/>
        <family val="2"/>
        <scheme val="minor"/>
      </rPr>
      <t>0</t>
    </r>
  </si>
  <si>
    <t>rainfed x</t>
  </si>
  <si>
    <r>
      <t>I</t>
    </r>
    <r>
      <rPr>
        <vertAlign val="subscript"/>
        <sz val="11"/>
        <color theme="1"/>
        <rFont val="Calibri"/>
        <family val="2"/>
        <scheme val="minor"/>
      </rPr>
      <t>M</t>
    </r>
  </si>
  <si>
    <r>
      <t>Y</t>
    </r>
    <r>
      <rPr>
        <b/>
        <vertAlign val="subscript"/>
        <sz val="11"/>
        <color theme="1"/>
        <rFont val="Calibri"/>
        <family val="2"/>
        <scheme val="minor"/>
      </rPr>
      <t>R</t>
    </r>
    <r>
      <rPr>
        <b/>
        <sz val="11"/>
        <color theme="1"/>
        <rFont val="Calibri"/>
        <family val="2"/>
        <scheme val="minor"/>
      </rPr>
      <t xml:space="preserve"> = k</t>
    </r>
    <r>
      <rPr>
        <b/>
        <vertAlign val="subscript"/>
        <sz val="11"/>
        <color theme="1"/>
        <rFont val="Calibri"/>
        <family val="2"/>
        <scheme val="minor"/>
      </rPr>
      <t>0</t>
    </r>
    <r>
      <rPr>
        <b/>
        <sz val="11"/>
        <color theme="1"/>
        <rFont val="Calibri"/>
        <family val="2"/>
        <scheme val="minor"/>
      </rPr>
      <t xml:space="preserve"> + k</t>
    </r>
    <r>
      <rPr>
        <b/>
        <vertAlign val="subscript"/>
        <sz val="11"/>
        <color theme="1"/>
        <rFont val="Calibri"/>
        <family val="2"/>
        <scheme val="minor"/>
      </rPr>
      <t>1</t>
    </r>
    <r>
      <rPr>
        <b/>
        <sz val="11"/>
        <color theme="1"/>
        <rFont val="Calibri"/>
        <family val="2"/>
        <scheme val="minor"/>
      </rPr>
      <t>*I + k</t>
    </r>
    <r>
      <rPr>
        <b/>
        <vertAlign val="subscript"/>
        <sz val="11"/>
        <color theme="1"/>
        <rFont val="Calibri"/>
        <family val="2"/>
        <scheme val="minor"/>
      </rPr>
      <t>2</t>
    </r>
    <r>
      <rPr>
        <b/>
        <sz val="11"/>
        <color theme="1"/>
        <rFont val="Calibri"/>
        <family val="2"/>
        <scheme val="minor"/>
      </rPr>
      <t>*I</t>
    </r>
    <r>
      <rPr>
        <b/>
        <vertAlign val="superscript"/>
        <sz val="11"/>
        <color theme="1"/>
        <rFont val="Calibri"/>
        <family val="2"/>
        <scheme val="minor"/>
      </rPr>
      <t>2</t>
    </r>
  </si>
  <si>
    <r>
      <t>Y</t>
    </r>
    <r>
      <rPr>
        <vertAlign val="subscript"/>
        <sz val="11"/>
        <color theme="1"/>
        <rFont val="Calibri"/>
        <family val="2"/>
        <scheme val="minor"/>
      </rPr>
      <t>rz</t>
    </r>
  </si>
  <si>
    <t>z</t>
  </si>
  <si>
    <t>Net Income Economic Model II:  Water Limited with rainfed option</t>
  </si>
  <si>
    <t>Tom Trout, USDA-ARS-WMSRU   6/1/2020</t>
  </si>
  <si>
    <t>This spreadsheet presents a biophysical and economic model of deficit irrigation.  This spreadsheet differs from USDA Ag Data
Commons site: DOI: 10.15482/USDA.ADC/1504421   in that it includes water limiting conditions and does not include income from water leasing.  Parameters are input into the yellow highlighted cells of each worksheet.  Parameters are defined in Notes attached to cells.  Parameters input or calculated in previous worksheets are copied into and displayed in each worksheet.  Relationships are graphed.  Final output is the net income (NI) for a given set of biophysical and economic parameters.  "Optimum" solutions are shown.</t>
  </si>
  <si>
    <r>
      <t>The normalized Water Production Function (WPF) model is based on normalizing both the yield and ETc relative to the maximum Yield (Ym) and maximum (potential) ETc (ETm).  The normalized WPF is modelled as a 2nd degree polynomial: Y</t>
    </r>
    <r>
      <rPr>
        <vertAlign val="subscript"/>
        <sz val="11"/>
        <color theme="1"/>
        <rFont val="Calibri"/>
        <family val="2"/>
        <scheme val="minor"/>
      </rPr>
      <t>R</t>
    </r>
    <r>
      <rPr>
        <sz val="11"/>
        <color theme="1"/>
        <rFont val="Calibri"/>
        <family val="2"/>
        <scheme val="minor"/>
      </rPr>
      <t xml:space="preserve"> = A + Bx + Cx</t>
    </r>
    <r>
      <rPr>
        <vertAlign val="superscript"/>
        <sz val="11"/>
        <color theme="1"/>
        <rFont val="Calibri"/>
        <family val="2"/>
        <scheme val="minor"/>
      </rPr>
      <t>2</t>
    </r>
    <r>
      <rPr>
        <sz val="11"/>
        <color theme="1"/>
        <rFont val="Calibri"/>
        <family val="2"/>
        <scheme val="minor"/>
      </rPr>
      <t xml:space="preserve"> where x = the relative ET.  The coefficients of the normalized WPF are  derived based two points on the WPF and the degree of curvilinearity, represented by the coefficient of the squared term (C).  The upper point is 1,1 (full ET and maximum yield).  A common scenario for the second point is Y</t>
    </r>
    <r>
      <rPr>
        <vertAlign val="subscript"/>
        <sz val="11"/>
        <color theme="1"/>
        <rFont val="Calibri"/>
        <family val="2"/>
        <scheme val="minor"/>
      </rPr>
      <t>R2</t>
    </r>
    <r>
      <rPr>
        <sz val="11"/>
        <color theme="1"/>
        <rFont val="Calibri"/>
        <family val="2"/>
        <scheme val="minor"/>
      </rPr>
      <t xml:space="preserve"> = 0 at x = x</t>
    </r>
    <r>
      <rPr>
        <vertAlign val="subscript"/>
        <sz val="11"/>
        <color theme="1"/>
        <rFont val="Calibri"/>
        <family val="2"/>
        <scheme val="minor"/>
      </rPr>
      <t xml:space="preserve">0 </t>
    </r>
    <r>
      <rPr>
        <sz val="11"/>
        <color theme="1"/>
        <rFont val="Calibri"/>
        <family val="2"/>
        <scheme val="minor"/>
      </rPr>
      <t>(the lower point on the x intercept).  The C coefficient can vary from 0, which produces a linear WPF, to negative values that produce concave downward WPFs.  The right side graph shows the effect of C on the WPF shape.  With these assumptions, the remaining polynomial coefficients (A and B) are derived, and the WPF is plotted (graph (a)).</t>
    </r>
  </si>
  <si>
    <r>
      <t xml:space="preserve">IrrReq - Irrigation Requirement </t>
    </r>
    <r>
      <rPr>
        <sz val="11"/>
        <color theme="1"/>
        <rFont val="Calibri"/>
        <family val="2"/>
        <scheme val="minor"/>
      </rPr>
      <t>(12 Input Parameters)</t>
    </r>
  </si>
  <si>
    <r>
      <t>Precipitaton Efficiency, Er:  User inputs an assumed precipitation efficiency at ETm, Er</t>
    </r>
    <r>
      <rPr>
        <vertAlign val="subscript"/>
        <sz val="11"/>
        <color theme="1"/>
        <rFont val="Calibri"/>
        <family val="2"/>
        <scheme val="minor"/>
      </rPr>
      <t>1</t>
    </r>
    <r>
      <rPr>
        <sz val="11"/>
        <color theme="1"/>
        <rFont val="Calibri"/>
        <family val="2"/>
        <scheme val="minor"/>
      </rPr>
      <t>; the relative ET value, x</t>
    </r>
    <r>
      <rPr>
        <vertAlign val="subscript"/>
        <sz val="11"/>
        <color theme="1"/>
        <rFont val="Calibri"/>
        <family val="2"/>
        <scheme val="minor"/>
      </rPr>
      <t>r</t>
    </r>
    <r>
      <rPr>
        <sz val="11"/>
        <color theme="1"/>
        <rFont val="Calibri"/>
        <family val="2"/>
        <scheme val="minor"/>
      </rPr>
      <t xml:space="preserve">, below which Er = 1; </t>
    </r>
    <r>
      <rPr>
        <vertAlign val="subscript"/>
        <sz val="11"/>
        <color theme="1"/>
        <rFont val="Calibri"/>
        <family val="2"/>
        <scheme val="minor"/>
      </rPr>
      <t xml:space="preserve"> </t>
    </r>
    <r>
      <rPr>
        <sz val="11"/>
        <color theme="1"/>
        <rFont val="Calibri"/>
        <family val="2"/>
        <scheme val="minor"/>
      </rPr>
      <t>and a quadratic coefficient, G, that defines the curvilinearity of the relationship between these two points.  The other two polynomial coefficients are calculated.  The quadratic coefficient, G, will be &lt;=0, with 0 providing a linear relationship.  Er values must be limited to &lt;= 1.0.</t>
    </r>
  </si>
  <si>
    <r>
      <t>Storage Efficiency, Es:  User inputs the portion of the potential off-season soil water storage that is used by the crop at ETm, Es</t>
    </r>
    <r>
      <rPr>
        <vertAlign val="subscript"/>
        <sz val="11"/>
        <color theme="1"/>
        <rFont val="Calibri"/>
        <family val="2"/>
        <scheme val="minor"/>
      </rPr>
      <t>1</t>
    </r>
    <r>
      <rPr>
        <sz val="11"/>
        <color theme="1"/>
        <rFont val="Calibri"/>
        <family val="2"/>
        <scheme val="minor"/>
      </rPr>
      <t>; the relative ET value, x</t>
    </r>
    <r>
      <rPr>
        <vertAlign val="subscript"/>
        <sz val="11"/>
        <color theme="1"/>
        <rFont val="Calibri"/>
        <family val="2"/>
        <scheme val="minor"/>
      </rPr>
      <t>s</t>
    </r>
    <r>
      <rPr>
        <sz val="11"/>
        <color theme="1"/>
        <rFont val="Calibri"/>
        <family val="2"/>
        <scheme val="minor"/>
      </rPr>
      <t>, below which all of the off-season effective precipitation is used (Es = 1); and a quadratic coefficient, K, that defines the curvilinearity of the relationship between these two points.  The other two polynomial coefficients are calculated.  The quadratic coefficient, K, will be &lt;=0, with 0 providing a linear relationship.  Es values must be limited to &lt;= 1.0.</t>
    </r>
  </si>
  <si>
    <r>
      <t>Irrigation Efficiency, Ei:  User inputs an assumed irrigation efficiency at  ETm, Ei</t>
    </r>
    <r>
      <rPr>
        <vertAlign val="subscript"/>
        <sz val="11"/>
        <color theme="1"/>
        <rFont val="Calibri"/>
        <family val="2"/>
        <scheme val="minor"/>
      </rPr>
      <t>1</t>
    </r>
    <r>
      <rPr>
        <sz val="11"/>
        <color theme="1"/>
        <rFont val="Calibri"/>
        <family val="2"/>
        <scheme val="minor"/>
      </rPr>
      <t>; the relative ET, x</t>
    </r>
    <r>
      <rPr>
        <vertAlign val="subscript"/>
        <sz val="11"/>
        <color theme="1"/>
        <rFont val="Calibri"/>
        <family val="2"/>
        <scheme val="minor"/>
      </rPr>
      <t>i</t>
    </r>
    <r>
      <rPr>
        <sz val="11"/>
        <color theme="1"/>
        <rFont val="Calibri"/>
        <family val="2"/>
        <scheme val="minor"/>
      </rPr>
      <t>, below which Ei = 1; and a quadratic coefficient, N, that defines the curvilinearity of the relationship.  The other two polynomial coefficients are calculated.  The quadratic coefficient, N, will be &lt;=0, with 0 providing a linear relationship.   Ei values must be limited to &lt;= 1.0.</t>
    </r>
  </si>
  <si>
    <t>ETm=</t>
  </si>
  <si>
    <r>
      <t>I</t>
    </r>
    <r>
      <rPr>
        <b/>
        <vertAlign val="subscript"/>
        <sz val="11"/>
        <color theme="1"/>
        <rFont val="Calibri"/>
        <family val="2"/>
        <scheme val="minor"/>
      </rPr>
      <t>R</t>
    </r>
    <r>
      <rPr>
        <b/>
        <sz val="11"/>
        <color theme="1"/>
        <rFont val="Calibri"/>
        <family val="2"/>
        <scheme val="minor"/>
      </rPr>
      <t xml:space="preserve"> = (ETm*x - R*Er(x) - S*Es(x))</t>
    </r>
  </si>
  <si>
    <t>The Irrigation Requirement is based on ET being met by the sum of three sources of water: Irrigation Supply (I), Effective Seasonal Precipitation (Re), and seasonal change in Soil Water Storage (Se) (final minus initial).  Each source has an associated "effectiveness" or use efficiency, or that portion of the water source that is used for ETc.  The three efficiencies, Ei, Er, and Es,  vary with the relative ET and thus can be derived as a function of x.  All three efficiencies are assumed to be 1.0 (100%) at low ET (large deficit), and decrease to a minimum value at ETm (x=1.0).  The relative decrease is assumed to be linear or concave and is modeled as a second degree polynomial.  The amount of effective rainfall and water from storage is then calculated along with the deficit, irrigation supply required to meet the target ET, and total water supply.  The deficit is calculated as ET minus effective precipitation and storage.  The required irrigation supply is the deficit divided by the irrigation efficiency.  The total water supply is calculated as the sum of R, S, and I.</t>
  </si>
  <si>
    <r>
      <t>Deficit (Irrigation Requirement), I</t>
    </r>
    <r>
      <rPr>
        <vertAlign val="subscript"/>
        <sz val="11"/>
        <color theme="1"/>
        <rFont val="Calibri"/>
        <family val="2"/>
        <scheme val="minor"/>
      </rPr>
      <t>R</t>
    </r>
    <r>
      <rPr>
        <sz val="11"/>
        <color theme="1"/>
        <rFont val="Calibri"/>
        <family val="2"/>
        <scheme val="minor"/>
      </rPr>
      <t>, and Irrigation Supply, I:  These are the remaining deficit (ET minus effective precipitation and storage), and the Irrigation amount required to achieve the target ET.  User inputs the anticipated in-season (planting to harvest) precipitation amount, R; the anticipated effective (infiltrated and not evaporated) off-season precipitation, S;  and a seasonal maximum ET, ETm.  The irrigation requirement is calculated as the ET (ETm*x) minus the effective seasonal precipitation, Re (R*Er(x)) and minus the effective storage, Se (S*Es(x)), all of which are functions of the relative ET, x.  The required irrigation supply is then I</t>
    </r>
    <r>
      <rPr>
        <vertAlign val="subscript"/>
        <sz val="11"/>
        <color theme="1"/>
        <rFont val="Calibri"/>
        <family val="2"/>
        <scheme val="minor"/>
      </rPr>
      <t>R</t>
    </r>
    <r>
      <rPr>
        <sz val="11"/>
        <color theme="1"/>
        <rFont val="Calibri"/>
        <family val="2"/>
        <scheme val="minor"/>
      </rPr>
      <t>/Ei.  These are plotted vs. x.</t>
    </r>
  </si>
  <si>
    <r>
      <t>Production Functions:  The relative yield, Y</t>
    </r>
    <r>
      <rPr>
        <vertAlign val="subscript"/>
        <sz val="11"/>
        <color theme="1"/>
        <rFont val="Calibri"/>
        <family val="2"/>
        <scheme val="minor"/>
      </rPr>
      <t>R</t>
    </r>
    <r>
      <rPr>
        <sz val="11"/>
        <color theme="1"/>
        <rFont val="Calibri"/>
        <family val="2"/>
        <scheme val="minor"/>
      </rPr>
      <t>, is plotted as a function of crop ETc (WPF), I</t>
    </r>
    <r>
      <rPr>
        <vertAlign val="subscript"/>
        <sz val="11"/>
        <color theme="1"/>
        <rFont val="Calibri"/>
        <family val="2"/>
        <scheme val="minor"/>
      </rPr>
      <t>R</t>
    </r>
    <r>
      <rPr>
        <sz val="11"/>
        <color theme="1"/>
        <rFont val="Calibri"/>
        <family val="2"/>
        <scheme val="minor"/>
      </rPr>
      <t>, I (IWPF) and total water supply (TWPF).  This demonstrates the effect of precipitation, soil water storage, and irrigation efficiency on the crop production function.  Note that the I</t>
    </r>
    <r>
      <rPr>
        <vertAlign val="subscript"/>
        <sz val="11"/>
        <color theme="1"/>
        <rFont val="Calibri"/>
        <family val="2"/>
        <scheme val="minor"/>
      </rPr>
      <t>R</t>
    </r>
    <r>
      <rPr>
        <sz val="11"/>
        <color theme="1"/>
        <rFont val="Calibri"/>
        <family val="2"/>
        <scheme val="minor"/>
      </rPr>
      <t xml:space="preserve"> and I production function intercepts are positive if Re + Se is larger than ETm*x</t>
    </r>
    <r>
      <rPr>
        <vertAlign val="subscript"/>
        <sz val="11"/>
        <color theme="1"/>
        <rFont val="Calibri"/>
        <family val="2"/>
        <scheme val="minor"/>
      </rPr>
      <t>0</t>
    </r>
    <r>
      <rPr>
        <sz val="11"/>
        <color theme="1"/>
        <rFont val="Calibri"/>
        <family val="2"/>
        <scheme val="minor"/>
      </rPr>
      <t>; and their slopes are less than that of the ET WPF.</t>
    </r>
  </si>
  <si>
    <r>
      <t>A quadratic equation is fit to the IWPF relationship (in terms of relative yield, Y</t>
    </r>
    <r>
      <rPr>
        <vertAlign val="subscript"/>
        <sz val="11"/>
        <color theme="1"/>
        <rFont val="Calibri"/>
        <family val="2"/>
        <scheme val="minor"/>
      </rPr>
      <t>R</t>
    </r>
    <r>
      <rPr>
        <sz val="11"/>
        <color theme="1"/>
        <rFont val="Calibri"/>
        <family val="2"/>
        <scheme val="minor"/>
      </rPr>
      <t>).  Three points used to calculate the coefficients (k</t>
    </r>
    <r>
      <rPr>
        <vertAlign val="subscript"/>
        <sz val="11"/>
        <color theme="1"/>
        <rFont val="Calibri"/>
        <family val="2"/>
        <scheme val="minor"/>
      </rPr>
      <t>0</t>
    </r>
    <r>
      <rPr>
        <sz val="11"/>
        <color theme="1"/>
        <rFont val="Calibri"/>
        <family val="2"/>
        <scheme val="minor"/>
      </rPr>
      <t>, k</t>
    </r>
    <r>
      <rPr>
        <vertAlign val="subscript"/>
        <sz val="11"/>
        <color theme="1"/>
        <rFont val="Calibri"/>
        <family val="2"/>
        <scheme val="minor"/>
      </rPr>
      <t>1</t>
    </r>
    <r>
      <rPr>
        <sz val="11"/>
        <color theme="1"/>
        <rFont val="Calibri"/>
        <family val="2"/>
        <scheme val="minor"/>
      </rPr>
      <t>, k</t>
    </r>
    <r>
      <rPr>
        <vertAlign val="subscript"/>
        <sz val="11"/>
        <color theme="1"/>
        <rFont val="Calibri"/>
        <family val="2"/>
        <scheme val="minor"/>
      </rPr>
      <t>2</t>
    </r>
    <r>
      <rPr>
        <sz val="11"/>
        <color theme="1"/>
        <rFont val="Calibri"/>
        <family val="2"/>
        <scheme val="minor"/>
      </rPr>
      <t>) are yield with no irrigation (0, k</t>
    </r>
    <r>
      <rPr>
        <vertAlign val="subscript"/>
        <sz val="11"/>
        <color theme="1"/>
        <rFont val="Calibri"/>
        <family val="2"/>
        <scheme val="minor"/>
      </rPr>
      <t>0</t>
    </r>
    <r>
      <rPr>
        <sz val="11"/>
        <color theme="1"/>
        <rFont val="Calibri"/>
        <family val="2"/>
        <scheme val="minor"/>
      </rPr>
      <t>), I</t>
    </r>
    <r>
      <rPr>
        <vertAlign val="subscript"/>
        <sz val="11"/>
        <color theme="1"/>
        <rFont val="Calibri"/>
        <family val="2"/>
        <scheme val="minor"/>
      </rPr>
      <t>s</t>
    </r>
    <r>
      <rPr>
        <sz val="11"/>
        <color theme="1"/>
        <rFont val="Calibri"/>
        <family val="2"/>
        <scheme val="minor"/>
      </rPr>
      <t xml:space="preserve"> at ETm (I</t>
    </r>
    <r>
      <rPr>
        <vertAlign val="subscript"/>
        <sz val="11"/>
        <color theme="1"/>
        <rFont val="Calibri"/>
        <family val="2"/>
        <scheme val="minor"/>
      </rPr>
      <t>M</t>
    </r>
    <r>
      <rPr>
        <sz val="11"/>
        <color theme="1"/>
        <rFont val="Calibri"/>
        <family val="2"/>
        <scheme val="minor"/>
      </rPr>
      <t>, 1) and an intermediate point on the curve (z*I</t>
    </r>
    <r>
      <rPr>
        <vertAlign val="subscript"/>
        <sz val="11"/>
        <color theme="1"/>
        <rFont val="Calibri"/>
        <family val="2"/>
        <scheme val="minor"/>
      </rPr>
      <t>M</t>
    </r>
    <r>
      <rPr>
        <sz val="11"/>
        <color theme="1"/>
        <rFont val="Calibri"/>
        <family val="2"/>
        <scheme val="minor"/>
      </rPr>
      <t>, Y</t>
    </r>
    <r>
      <rPr>
        <vertAlign val="subscript"/>
        <sz val="11"/>
        <color theme="1"/>
        <rFont val="Calibri"/>
        <family val="2"/>
        <scheme val="minor"/>
      </rPr>
      <t>Rz</t>
    </r>
    <r>
      <rPr>
        <sz val="11"/>
        <color theme="1"/>
        <rFont val="Calibri"/>
        <family val="2"/>
        <scheme val="minor"/>
      </rPr>
      <t>).  Since the equations are written in terms of relative ET and relative Y, the relative ET for no irrigation (rainfed production) must first be determined iteratively (cell A71).  The value is correct when I</t>
    </r>
    <r>
      <rPr>
        <vertAlign val="subscript"/>
        <sz val="11"/>
        <color theme="1"/>
        <rFont val="Calibri"/>
        <family val="2"/>
        <scheme val="minor"/>
      </rPr>
      <t>s</t>
    </r>
    <r>
      <rPr>
        <sz val="11"/>
        <color theme="1"/>
        <rFont val="Calibri"/>
        <family val="2"/>
        <scheme val="minor"/>
      </rPr>
      <t xml:space="preserve"> = 0.  k</t>
    </r>
    <r>
      <rPr>
        <vertAlign val="subscript"/>
        <sz val="11"/>
        <color theme="1"/>
        <rFont val="Calibri"/>
        <family val="2"/>
        <scheme val="minor"/>
      </rPr>
      <t>0</t>
    </r>
    <r>
      <rPr>
        <sz val="11"/>
        <color theme="1"/>
        <rFont val="Calibri"/>
        <family val="2"/>
        <scheme val="minor"/>
      </rPr>
      <t xml:space="preserve"> is the predicted rainfed yield at this rainfed relative ET.  Then an intermediate point is selected on the IWPF curve between rainfed ET and ETm (cell A72)  In cell A72, the intermediate point is 2/3 the way between rainfed ET and ETm.  The relative Y is calculated at this intermediate point.  I</t>
    </r>
    <r>
      <rPr>
        <vertAlign val="subscript"/>
        <sz val="11"/>
        <color theme="1"/>
        <rFont val="Calibri"/>
        <family val="2"/>
        <scheme val="minor"/>
      </rPr>
      <t>M</t>
    </r>
    <r>
      <rPr>
        <sz val="11"/>
        <color theme="1"/>
        <rFont val="Calibri"/>
        <family val="2"/>
        <scheme val="minor"/>
      </rPr>
      <t xml:space="preserve"> is the full irrigation application that meets ETm  (cell B77).  The intermediate point is then converted from relative ET to relative I</t>
    </r>
    <r>
      <rPr>
        <vertAlign val="subscript"/>
        <sz val="11"/>
        <color theme="1"/>
        <rFont val="Calibri"/>
        <family val="2"/>
        <scheme val="minor"/>
      </rPr>
      <t>S</t>
    </r>
    <r>
      <rPr>
        <sz val="11"/>
        <color theme="1"/>
        <rFont val="Calibri"/>
        <family val="2"/>
        <scheme val="minor"/>
      </rPr>
      <t xml:space="preserve"> by dividing by I</t>
    </r>
    <r>
      <rPr>
        <vertAlign val="subscript"/>
        <sz val="11"/>
        <color theme="1"/>
        <rFont val="Calibri"/>
        <family val="2"/>
        <scheme val="minor"/>
      </rPr>
      <t>M</t>
    </r>
    <r>
      <rPr>
        <sz val="11"/>
        <color theme="1"/>
        <rFont val="Calibri"/>
        <family val="2"/>
        <scheme val="minor"/>
      </rPr>
      <t>.  Then k</t>
    </r>
    <r>
      <rPr>
        <vertAlign val="subscript"/>
        <sz val="11"/>
        <color theme="1"/>
        <rFont val="Calibri"/>
        <family val="2"/>
        <scheme val="minor"/>
      </rPr>
      <t>2</t>
    </r>
    <r>
      <rPr>
        <sz val="11"/>
        <color theme="1"/>
        <rFont val="Calibri"/>
        <family val="2"/>
        <scheme val="minor"/>
      </rPr>
      <t xml:space="preserve"> and k</t>
    </r>
    <r>
      <rPr>
        <vertAlign val="subscript"/>
        <sz val="11"/>
        <color theme="1"/>
        <rFont val="Calibri"/>
        <family val="2"/>
        <scheme val="minor"/>
      </rPr>
      <t>1</t>
    </r>
    <r>
      <rPr>
        <sz val="11"/>
        <color theme="1"/>
        <rFont val="Calibri"/>
        <family val="2"/>
        <scheme val="minor"/>
      </rPr>
      <t xml:space="preserve"> are calculated from these three points (see App 1 of Trout et al. (2020).  The  graph shows the model fit (IWPFm).  The Y</t>
    </r>
    <r>
      <rPr>
        <vertAlign val="subscript"/>
        <sz val="11"/>
        <color theme="1"/>
        <rFont val="Calibri"/>
        <family val="2"/>
        <scheme val="minor"/>
      </rPr>
      <t>R</t>
    </r>
    <r>
      <rPr>
        <sz val="11"/>
        <color theme="1"/>
        <rFont val="Calibri"/>
        <family val="2"/>
        <scheme val="minor"/>
      </rPr>
      <t>(I) are converted to actual yield by multiplying the relative yield by Y</t>
    </r>
    <r>
      <rPr>
        <vertAlign val="subscript"/>
        <sz val="11"/>
        <color theme="1"/>
        <rFont val="Calibri"/>
        <family val="2"/>
        <scheme val="minor"/>
      </rPr>
      <t>M</t>
    </r>
    <r>
      <rPr>
        <sz val="11"/>
        <color theme="1"/>
        <rFont val="Calibri"/>
        <family val="2"/>
        <scheme val="minor"/>
      </rPr>
      <t>.  A Power Curve (Cobb-Douglas) model is also developed (Martin et al., 1989).</t>
    </r>
  </si>
  <si>
    <r>
      <rPr>
        <i/>
        <sz val="11"/>
        <color theme="1"/>
        <rFont val="Calibri"/>
        <family val="2"/>
        <scheme val="minor"/>
      </rPr>
      <t>I</t>
    </r>
    <r>
      <rPr>
        <i/>
        <vertAlign val="subscript"/>
        <sz val="11"/>
        <color theme="1"/>
        <rFont val="Calibri"/>
        <family val="2"/>
        <scheme val="minor"/>
      </rPr>
      <t>op</t>
    </r>
    <r>
      <rPr>
        <sz val="11"/>
        <color theme="1"/>
        <rFont val="Calibri"/>
        <family val="2"/>
        <scheme val="minor"/>
      </rPr>
      <t xml:space="preserve"> (mm)</t>
    </r>
  </si>
  <si>
    <t>NIm</t>
  </si>
  <si>
    <r>
      <t>This worksheet calculates the net income, NI, for varying irrigation levels when the water supply is adequate for full irrigation.  The worksheet uses the models for Y</t>
    </r>
    <r>
      <rPr>
        <vertAlign val="subscript"/>
        <sz val="11"/>
        <color theme="1"/>
        <rFont val="Calibri"/>
        <family val="2"/>
        <scheme val="minor"/>
      </rPr>
      <t>R</t>
    </r>
    <r>
      <rPr>
        <sz val="11"/>
        <color theme="1"/>
        <rFont val="Calibri"/>
        <family val="2"/>
        <scheme val="minor"/>
      </rPr>
      <t>(x) and I(x) developed in the previous two worksheets (parameters are copied into cells R5 - U19).  Crop price and production costs are input into highlighted cells in Row 6.  NI is calculated for incremented relative ET values in Rows 25 - 125 based on Eq. 1 (Trout et al., 2020).  Revenue, Costs, and NI and are plotted in the graph.  All NI calculations are per unit area (ha).  The I that maximized NI, Iop, is estimated numerically and from Eq. 4.</t>
    </r>
  </si>
  <si>
    <r>
      <t>Ym, Yield price and three costs of production are input into the highlighted cells in Row 6.  The table calculates each component of NI at increasing relative ET amounts, x.  The revenue and cost functions are plotted, along with the NI function.  The level of I that provides the maximum NI is estimated numerically and presented in cells K31:L33.   The I</t>
    </r>
    <r>
      <rPr>
        <vertAlign val="subscript"/>
        <sz val="11"/>
        <color theme="1"/>
        <rFont val="Calibri"/>
        <family val="2"/>
        <scheme val="minor"/>
      </rPr>
      <t>op</t>
    </r>
    <r>
      <rPr>
        <sz val="11"/>
        <color theme="1"/>
        <rFont val="Calibri"/>
        <family val="2"/>
        <scheme val="minor"/>
      </rPr>
      <t xml:space="preserve"> is also estimated from the quadratic IWPF model (cell D13).  Note that the water price is given in m</t>
    </r>
    <r>
      <rPr>
        <vertAlign val="superscript"/>
        <sz val="11"/>
        <color theme="1"/>
        <rFont val="Calibri"/>
        <family val="2"/>
        <scheme val="minor"/>
      </rPr>
      <t>3</t>
    </r>
    <r>
      <rPr>
        <sz val="11"/>
        <color theme="1"/>
        <rFont val="Calibri"/>
        <family val="2"/>
        <scheme val="minor"/>
      </rPr>
      <t>/ha so the  irrigation amount (ha-mm/ha) must be multipled by 10 to calculate the water cost.</t>
    </r>
  </si>
  <si>
    <r>
      <t>This worksheet calculates the net income, NI when the water supply is limited. Income and costs from the unirrigated area are included.  The worksheet uses the models for Y</t>
    </r>
    <r>
      <rPr>
        <vertAlign val="subscript"/>
        <sz val="11"/>
        <color theme="1"/>
        <rFont val="Calibri"/>
        <family val="2"/>
        <scheme val="minor"/>
      </rPr>
      <t>R</t>
    </r>
    <r>
      <rPr>
        <sz val="11"/>
        <color theme="1"/>
        <rFont val="Calibri"/>
        <family val="2"/>
        <scheme val="minor"/>
      </rPr>
      <t>(x) and I(x) developed in the WPF and IrrReq worksheets (parameters copied into Cells R5 - U19).  Crop prices and production costs are input into highlighted cells in Row 6.  NI calculations are made in Rows 25 - 125 for incremental values of relative ET, x.  NI trends are plotted in the graphs vs. x, Ai, and I.  NI is calculated per unit land area and calculations are based on relative area that is irrigated, Ai and unirrigated, Ar.</t>
    </r>
  </si>
  <si>
    <t>Based on the available water supply and the irrigation depth, the worksheet calculates the portion of the relative area that is irrigated, Ai, and the remainder that is unirrigated, Ar, for each relative ET, x.  These fractions are multiplied by the NI per unit area of the irrigated and unirrigated land, respectively, and summed to determine the total NI per unit area.  This value can be multiplied by the total area to determine the total NI.</t>
  </si>
  <si>
    <r>
      <t>I</t>
    </r>
    <r>
      <rPr>
        <vertAlign val="subscript"/>
        <sz val="11"/>
        <color theme="1"/>
        <rFont val="Calibri"/>
        <family val="2"/>
        <scheme val="minor"/>
      </rPr>
      <t>op</t>
    </r>
  </si>
  <si>
    <r>
      <t>The revenue and cost functions are plotted, along with the NI function vs. x, Ai, and I.  The level of I that provides the maximum NI is estimated numerically and presented in cells U92-V96.  The I value that provides the maximum NI is also estimated by the quadratic model of the Y(I) equation (cell D24) and the NI for this I value is calculated (Row 24).  Note that the water price is given in m</t>
    </r>
    <r>
      <rPr>
        <vertAlign val="superscript"/>
        <sz val="11"/>
        <color theme="1"/>
        <rFont val="Calibri"/>
        <family val="2"/>
        <scheme val="minor"/>
      </rPr>
      <t>3</t>
    </r>
    <r>
      <rPr>
        <sz val="11"/>
        <color theme="1"/>
        <rFont val="Calibri"/>
        <family val="2"/>
        <scheme val="minor"/>
      </rPr>
      <t>/ha so the  irrigation amount (ha-mm/ha) must be multipled by 10 to calculate the water cost.  These calculations are in terms of NI per unit area.  They can be multiplied by the total area to calculate total NI.  These NI calculations are only relevant between W &lt; I &lt; I</t>
    </r>
    <r>
      <rPr>
        <vertAlign val="subscript"/>
        <sz val="11"/>
        <color theme="1"/>
        <rFont val="Calibri"/>
        <family val="2"/>
        <scheme val="minor"/>
      </rPr>
      <t xml:space="preserve">M </t>
    </r>
    <r>
      <rPr>
        <sz val="11"/>
        <color theme="1"/>
        <rFont val="Calibri"/>
        <family val="2"/>
        <scheme val="minor"/>
      </rPr>
      <t>or equivalently, W/I</t>
    </r>
    <r>
      <rPr>
        <vertAlign val="subscript"/>
        <sz val="11"/>
        <color theme="1"/>
        <rFont val="Calibri"/>
        <family val="2"/>
        <scheme val="minor"/>
      </rPr>
      <t>M</t>
    </r>
    <r>
      <rPr>
        <sz val="11"/>
        <color theme="1"/>
        <rFont val="Calibri"/>
        <family val="2"/>
        <scheme val="minor"/>
      </rPr>
      <t xml:space="preserve"> &lt; A</t>
    </r>
    <r>
      <rPr>
        <vertAlign val="subscript"/>
        <sz val="11"/>
        <color theme="1"/>
        <rFont val="Calibri"/>
        <family val="2"/>
        <scheme val="minor"/>
      </rPr>
      <t>i</t>
    </r>
    <r>
      <rPr>
        <sz val="11"/>
        <color theme="1"/>
        <rFont val="Calibri"/>
        <family val="2"/>
        <scheme val="minor"/>
      </rPr>
      <t xml:space="preserve"> &lt; I.0.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</si>
</sst>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0.000"/>
    <numFmt numFmtId="165" formatCode="&quot;$&quot;#,##0"/>
    <numFmt numFmtId="166" formatCode="&quot;$&quot;#,##0.00"/>
    <numFmt numFmtId="167" formatCode="0.0"/>
    <numFmt numFmtId="168" formatCode="0.0000"/>
    <numFmt numFmtId="169" formatCode="&quot;$&quot;#,##0.0"/>
    <numFmt numFmtId="170" formatCode="&quot;$&quot;#,##0.000"/>
    <numFmt numFmtId="171" formatCode="0.000E+00"/>
  </numFmts>
  <fonts count="16"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i/>
      <sz val="11"/>
      <color theme="1"/>
      <name val="Calibri"/>
      <family val="2"/>
      <scheme val="minor"/>
    </font>
    <font>
      <sz val="11"/>
      <color theme="1"/>
      <name val="Calibri"/>
      <family val="2"/>
      <scheme val="minor"/>
    </font>
    <font>
      <vertAlign val="subscript"/>
      <sz val="11"/>
      <color theme="1"/>
      <name val="Calibri"/>
      <family val="2"/>
      <scheme val="minor"/>
    </font>
    <font>
      <vertAlign val="superscript"/>
      <sz val="11"/>
      <color theme="1"/>
      <name val="Calibri"/>
      <family val="2"/>
      <scheme val="minor"/>
    </font>
    <font>
      <b/>
      <vertAlign val="subscript"/>
      <sz val="11"/>
      <color theme="1"/>
      <name val="Calibri"/>
      <family val="2"/>
      <scheme val="minor"/>
    </font>
    <font>
      <i/>
      <vertAlign val="superscript"/>
      <sz val="11"/>
      <color theme="1"/>
      <name val="Calibri"/>
      <family val="2"/>
      <scheme val="minor"/>
    </font>
    <font>
      <b/>
      <sz val="12"/>
      <color theme="1"/>
      <name val="Calibri"/>
      <family val="2"/>
      <scheme val="minor"/>
    </font>
    <font>
      <b/>
      <i/>
      <vertAlign val="subscript"/>
      <sz val="11"/>
      <color theme="1"/>
      <name val="Calibri"/>
      <family val="2"/>
      <scheme val="minor"/>
    </font>
    <font>
      <i/>
      <vertAlign val="subscript"/>
      <sz val="11"/>
      <color theme="1"/>
      <name val="Calibri"/>
      <family val="2"/>
      <scheme val="minor"/>
    </font>
    <font>
      <b/>
      <vertAlign val="superscript"/>
      <sz val="11"/>
      <color theme="1"/>
      <name val="Calibri"/>
      <family val="2"/>
      <scheme val="minor"/>
    </font>
    <font>
      <b/>
      <i/>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5" fillId="0" borderId="0" applyFont="0" applyFill="0" applyBorder="0" applyAlignment="0" applyProtection="0"/>
  </cellStyleXfs>
  <cellXfs count="162">
    <xf numFmtId="0" fontId="0" fillId="0" borderId="0" xfId="0"/>
    <xf numFmtId="0" fontId="0" fillId="0" borderId="0" xfId="0" applyAlignment="1">
      <alignment horizontal="right"/>
    </xf>
    <xf numFmtId="0" fontId="1" fillId="0" borderId="0" xfId="0" applyFont="1"/>
    <xf numFmtId="0" fontId="0" fillId="0" borderId="1" xfId="0" applyBorder="1" applyAlignment="1">
      <alignment horizontal="right"/>
    </xf>
    <xf numFmtId="0" fontId="0" fillId="0" borderId="3" xfId="0" applyBorder="1"/>
    <xf numFmtId="0" fontId="0" fillId="0" borderId="5" xfId="0" applyBorder="1"/>
    <xf numFmtId="0" fontId="0" fillId="0" borderId="2" xfId="0" applyBorder="1" applyAlignment="1">
      <alignment horizontal="right"/>
    </xf>
    <xf numFmtId="2" fontId="0" fillId="0" borderId="0" xfId="0" applyNumberFormat="1"/>
    <xf numFmtId="2" fontId="0" fillId="0" borderId="4" xfId="0" applyNumberFormat="1" applyBorder="1"/>
    <xf numFmtId="2" fontId="0" fillId="0" borderId="6" xfId="0" applyNumberFormat="1" applyBorder="1"/>
    <xf numFmtId="164" fontId="0" fillId="0" borderId="0" xfId="0" applyNumberFormat="1"/>
    <xf numFmtId="0" fontId="0" fillId="0" borderId="7" xfId="0" applyBorder="1" applyAlignment="1">
      <alignment horizontal="right"/>
    </xf>
    <xf numFmtId="2" fontId="0" fillId="0" borderId="0" xfId="0" applyNumberFormat="1" applyBorder="1"/>
    <xf numFmtId="2" fontId="0" fillId="0" borderId="8" xfId="0" applyNumberFormat="1" applyBorder="1"/>
    <xf numFmtId="0" fontId="0" fillId="0" borderId="0" xfId="0" applyBorder="1"/>
    <xf numFmtId="0" fontId="0" fillId="0" borderId="0" xfId="0" applyBorder="1" applyAlignment="1">
      <alignment horizontal="right"/>
    </xf>
    <xf numFmtId="0" fontId="0" fillId="0" borderId="0" xfId="0" applyFill="1"/>
    <xf numFmtId="0" fontId="0" fillId="0" borderId="1" xfId="0" applyBorder="1"/>
    <xf numFmtId="0" fontId="0" fillId="0" borderId="7" xfId="0" applyBorder="1"/>
    <xf numFmtId="0" fontId="0" fillId="0" borderId="2" xfId="0" applyBorder="1"/>
    <xf numFmtId="0" fontId="0" fillId="0" borderId="8" xfId="0" applyBorder="1"/>
    <xf numFmtId="0" fontId="0" fillId="0" borderId="6" xfId="0" applyBorder="1"/>
    <xf numFmtId="0" fontId="0" fillId="0" borderId="0" xfId="0" applyAlignment="1">
      <alignment wrapText="1"/>
    </xf>
    <xf numFmtId="0" fontId="0" fillId="0" borderId="3" xfId="0" applyBorder="1" applyAlignment="1">
      <alignment horizontal="right"/>
    </xf>
    <xf numFmtId="1" fontId="0" fillId="0" borderId="4" xfId="0" applyNumberFormat="1" applyBorder="1"/>
    <xf numFmtId="1" fontId="0" fillId="0" borderId="0" xfId="0" applyNumberFormat="1"/>
    <xf numFmtId="1" fontId="0" fillId="0" borderId="6" xfId="0" applyNumberFormat="1" applyBorder="1"/>
    <xf numFmtId="0" fontId="4" fillId="0" borderId="0" xfId="0" applyFont="1"/>
    <xf numFmtId="0" fontId="0" fillId="0" borderId="7" xfId="0" applyFill="1" applyBorder="1" applyAlignment="1">
      <alignment horizontal="right"/>
    </xf>
    <xf numFmtId="0" fontId="0" fillId="0" borderId="2" xfId="0" applyFill="1" applyBorder="1" applyAlignment="1">
      <alignment horizontal="right"/>
    </xf>
    <xf numFmtId="1" fontId="0" fillId="0" borderId="0" xfId="0" applyNumberFormat="1" applyBorder="1"/>
    <xf numFmtId="1" fontId="0" fillId="0" borderId="8" xfId="0" applyNumberFormat="1" applyBorder="1"/>
    <xf numFmtId="0" fontId="0" fillId="0" borderId="0" xfId="0" applyAlignment="1">
      <alignment vertical="top" wrapText="1"/>
    </xf>
    <xf numFmtId="0" fontId="0" fillId="0" borderId="9" xfId="0" applyFill="1" applyBorder="1"/>
    <xf numFmtId="0" fontId="0" fillId="2" borderId="4" xfId="0" applyFill="1" applyBorder="1"/>
    <xf numFmtId="0" fontId="1" fillId="0" borderId="0" xfId="0" applyFont="1" applyAlignment="1">
      <alignment horizontal="right"/>
    </xf>
    <xf numFmtId="0" fontId="0" fillId="2" borderId="10" xfId="0" applyFill="1" applyBorder="1"/>
    <xf numFmtId="0" fontId="0" fillId="0" borderId="0" xfId="0" applyFont="1"/>
    <xf numFmtId="165" fontId="0" fillId="0" borderId="0" xfId="0" applyNumberFormat="1" applyBorder="1"/>
    <xf numFmtId="165" fontId="0" fillId="0" borderId="0" xfId="0" applyNumberFormat="1" applyFont="1" applyBorder="1"/>
    <xf numFmtId="0" fontId="4" fillId="0" borderId="0" xfId="0" applyFont="1" applyBorder="1" applyAlignment="1">
      <alignment horizontal="right"/>
    </xf>
    <xf numFmtId="0" fontId="0" fillId="0" borderId="11" xfId="0" applyBorder="1"/>
    <xf numFmtId="166" fontId="0" fillId="2" borderId="10" xfId="0" applyNumberFormat="1" applyFill="1" applyBorder="1"/>
    <xf numFmtId="165" fontId="0" fillId="2" borderId="10" xfId="0" applyNumberFormat="1" applyFill="1" applyBorder="1"/>
    <xf numFmtId="166" fontId="0" fillId="0" borderId="10" xfId="1" applyNumberFormat="1" applyFont="1" applyBorder="1"/>
    <xf numFmtId="165" fontId="0" fillId="0" borderId="10" xfId="0" applyNumberFormat="1" applyBorder="1"/>
    <xf numFmtId="0" fontId="1" fillId="0" borderId="0" xfId="0" applyFont="1" applyAlignment="1">
      <alignment wrapText="1"/>
    </xf>
    <xf numFmtId="0" fontId="1" fillId="0" borderId="0" xfId="0" applyFont="1" applyAlignment="1">
      <alignment vertical="top" wrapText="1"/>
    </xf>
    <xf numFmtId="0" fontId="1" fillId="0" borderId="0" xfId="0" applyFont="1" applyBorder="1"/>
    <xf numFmtId="0" fontId="1" fillId="0" borderId="0" xfId="0" applyFont="1" applyBorder="1" applyAlignment="1">
      <alignment horizontal="right"/>
    </xf>
    <xf numFmtId="0" fontId="0" fillId="0" borderId="0" xfId="0" applyFill="1" applyBorder="1" applyAlignment="1">
      <alignment horizontal="right"/>
    </xf>
    <xf numFmtId="0" fontId="0" fillId="0" borderId="0" xfId="0" applyAlignment="1">
      <alignment horizontal="left"/>
    </xf>
    <xf numFmtId="166" fontId="0" fillId="3" borderId="10" xfId="0" applyNumberFormat="1" applyFill="1" applyBorder="1"/>
    <xf numFmtId="165" fontId="0" fillId="3" borderId="10" xfId="0" applyNumberFormat="1" applyFill="1" applyBorder="1"/>
    <xf numFmtId="0" fontId="0" fillId="0" borderId="5" xfId="0" applyBorder="1" applyAlignment="1">
      <alignment horizontal="right"/>
    </xf>
    <xf numFmtId="164" fontId="0" fillId="0" borderId="3" xfId="0" applyNumberFormat="1" applyBorder="1"/>
    <xf numFmtId="164" fontId="0" fillId="0" borderId="5" xfId="0" applyNumberFormat="1" applyBorder="1"/>
    <xf numFmtId="0" fontId="1" fillId="0" borderId="1" xfId="0" applyFont="1" applyBorder="1"/>
    <xf numFmtId="0" fontId="10" fillId="0" borderId="0" xfId="0" applyFont="1"/>
    <xf numFmtId="0" fontId="0" fillId="0" borderId="0" xfId="0" applyFont="1" applyAlignment="1">
      <alignment wrapText="1"/>
    </xf>
    <xf numFmtId="0" fontId="0" fillId="0" borderId="11" xfId="0" applyFill="1" applyBorder="1"/>
    <xf numFmtId="0" fontId="0" fillId="0" borderId="4" xfId="0" applyBorder="1"/>
    <xf numFmtId="0" fontId="0" fillId="0" borderId="10" xfId="0" applyBorder="1"/>
    <xf numFmtId="0" fontId="0" fillId="0" borderId="10" xfId="0" applyFill="1" applyBorder="1"/>
    <xf numFmtId="0" fontId="1" fillId="0" borderId="3" xfId="0" applyFont="1" applyBorder="1"/>
    <xf numFmtId="2" fontId="0" fillId="0" borderId="5" xfId="0" applyNumberFormat="1" applyBorder="1"/>
    <xf numFmtId="2" fontId="0" fillId="0" borderId="3" xfId="0" applyNumberFormat="1" applyBorder="1"/>
    <xf numFmtId="0" fontId="1" fillId="0" borderId="1" xfId="0" applyFont="1" applyBorder="1" applyAlignment="1">
      <alignment horizontal="right"/>
    </xf>
    <xf numFmtId="0" fontId="1" fillId="0" borderId="7" xfId="0" applyFont="1" applyFill="1" applyBorder="1" applyAlignment="1">
      <alignment horizontal="right"/>
    </xf>
    <xf numFmtId="0" fontId="1" fillId="0" borderId="7" xfId="0" applyFont="1" applyBorder="1" applyAlignment="1">
      <alignment horizontal="right"/>
    </xf>
    <xf numFmtId="2" fontId="1" fillId="0" borderId="7" xfId="0" applyNumberFormat="1" applyFont="1" applyBorder="1" applyAlignment="1">
      <alignment horizontal="right"/>
    </xf>
    <xf numFmtId="1" fontId="0" fillId="0" borderId="10" xfId="0" applyNumberFormat="1" applyFill="1" applyBorder="1"/>
    <xf numFmtId="2" fontId="0" fillId="0" borderId="10" xfId="0" applyNumberFormat="1" applyBorder="1"/>
    <xf numFmtId="1" fontId="1" fillId="0" borderId="0" xfId="0" applyNumberFormat="1" applyFont="1" applyBorder="1"/>
    <xf numFmtId="1" fontId="1" fillId="0" borderId="8" xfId="0" applyNumberFormat="1" applyFont="1" applyBorder="1"/>
    <xf numFmtId="0" fontId="4" fillId="0" borderId="4" xfId="0" applyFont="1" applyBorder="1"/>
    <xf numFmtId="0" fontId="1" fillId="0" borderId="0" xfId="0" applyFont="1" applyAlignment="1">
      <alignment horizontal="left"/>
    </xf>
    <xf numFmtId="1" fontId="0" fillId="0" borderId="10" xfId="0" applyNumberFormat="1" applyBorder="1"/>
    <xf numFmtId="165" fontId="0" fillId="0" borderId="0" xfId="0" applyNumberFormat="1" applyFill="1" applyBorder="1"/>
    <xf numFmtId="164" fontId="0" fillId="0" borderId="0" xfId="0" applyNumberFormat="1" applyBorder="1"/>
    <xf numFmtId="0" fontId="4" fillId="0" borderId="0" xfId="0" applyFont="1" applyFill="1" applyBorder="1" applyAlignment="1">
      <alignment horizontal="right"/>
    </xf>
    <xf numFmtId="0" fontId="4" fillId="0" borderId="4" xfId="0" applyFont="1" applyFill="1" applyBorder="1" applyAlignment="1">
      <alignment horizontal="right"/>
    </xf>
    <xf numFmtId="167" fontId="0" fillId="0" borderId="10" xfId="0" applyNumberFormat="1" applyBorder="1"/>
    <xf numFmtId="0" fontId="0" fillId="0" borderId="7" xfId="0" applyFill="1" applyBorder="1" applyAlignment="1">
      <alignment horizontal="left"/>
    </xf>
    <xf numFmtId="1" fontId="0" fillId="0" borderId="0" xfId="0" applyNumberFormat="1" applyFont="1" applyBorder="1"/>
    <xf numFmtId="0" fontId="0" fillId="0" borderId="0" xfId="0" applyFont="1" applyBorder="1"/>
    <xf numFmtId="164" fontId="0" fillId="0" borderId="0" xfId="0" applyNumberFormat="1" applyFont="1" applyBorder="1"/>
    <xf numFmtId="2" fontId="0" fillId="0" borderId="0" xfId="0" applyNumberFormat="1" applyFont="1" applyBorder="1"/>
    <xf numFmtId="0" fontId="4" fillId="0" borderId="0" xfId="0" applyFont="1" applyBorder="1"/>
    <xf numFmtId="0" fontId="4" fillId="0" borderId="9" xfId="0" applyFont="1" applyBorder="1" applyAlignment="1">
      <alignment horizontal="right"/>
    </xf>
    <xf numFmtId="0" fontId="0" fillId="0" borderId="11" xfId="0" applyBorder="1" applyAlignment="1">
      <alignment horizontal="right"/>
    </xf>
    <xf numFmtId="0" fontId="0" fillId="0" borderId="12" xfId="0" applyBorder="1" applyAlignment="1">
      <alignment horizontal="right"/>
    </xf>
    <xf numFmtId="165" fontId="0" fillId="0" borderId="2" xfId="0" applyNumberFormat="1" applyBorder="1"/>
    <xf numFmtId="167" fontId="0" fillId="0" borderId="0" xfId="0" applyNumberFormat="1"/>
    <xf numFmtId="0" fontId="14" fillId="0" borderId="3" xfId="0" applyFont="1" applyBorder="1" applyAlignment="1">
      <alignment horizontal="right"/>
    </xf>
    <xf numFmtId="1" fontId="14" fillId="0" borderId="0" xfId="0" applyNumberFormat="1" applyFont="1" applyBorder="1"/>
    <xf numFmtId="0" fontId="14" fillId="0" borderId="0" xfId="0" applyFont="1" applyBorder="1" applyAlignment="1">
      <alignment horizontal="right"/>
    </xf>
    <xf numFmtId="165" fontId="14" fillId="0" borderId="0" xfId="0" applyNumberFormat="1" applyFont="1" applyBorder="1"/>
    <xf numFmtId="164" fontId="14" fillId="0" borderId="0" xfId="0" applyNumberFormat="1" applyFont="1" applyBorder="1"/>
    <xf numFmtId="165" fontId="14" fillId="0" borderId="4" xfId="0" applyNumberFormat="1" applyFont="1" applyBorder="1"/>
    <xf numFmtId="170" fontId="0" fillId="0" borderId="10" xfId="0" applyNumberFormat="1" applyBorder="1"/>
    <xf numFmtId="1" fontId="14" fillId="0" borderId="0" xfId="0" applyNumberFormat="1" applyFont="1"/>
    <xf numFmtId="0" fontId="0" fillId="0" borderId="9" xfId="0" applyBorder="1" applyAlignment="1">
      <alignment horizontal="right"/>
    </xf>
    <xf numFmtId="0" fontId="0" fillId="0" borderId="0" xfId="0" applyFill="1" applyBorder="1"/>
    <xf numFmtId="164" fontId="0" fillId="0" borderId="1" xfId="0" applyNumberFormat="1" applyBorder="1"/>
    <xf numFmtId="169" fontId="0" fillId="0" borderId="2" xfId="0" applyNumberFormat="1" applyBorder="1"/>
    <xf numFmtId="37" fontId="0" fillId="0" borderId="4" xfId="1" applyNumberFormat="1" applyFont="1" applyBorder="1"/>
    <xf numFmtId="39" fontId="0" fillId="0" borderId="6" xfId="1" applyNumberFormat="1" applyFont="1" applyBorder="1"/>
    <xf numFmtId="0" fontId="1" fillId="0" borderId="3" xfId="0" applyFont="1" applyFill="1" applyBorder="1"/>
    <xf numFmtId="0" fontId="4" fillId="0" borderId="6" xfId="0" applyFont="1" applyFill="1" applyBorder="1"/>
    <xf numFmtId="165" fontId="0" fillId="0" borderId="10" xfId="0" applyNumberFormat="1" applyFill="1" applyBorder="1"/>
    <xf numFmtId="168" fontId="0" fillId="0" borderId="10" xfId="0" applyNumberFormat="1" applyBorder="1"/>
    <xf numFmtId="165" fontId="0" fillId="0" borderId="4" xfId="0" applyNumberFormat="1" applyFont="1" applyBorder="1"/>
    <xf numFmtId="1" fontId="0" fillId="0" borderId="3" xfId="0" applyNumberFormat="1" applyBorder="1"/>
    <xf numFmtId="1" fontId="0" fillId="0" borderId="5" xfId="0" applyNumberFormat="1" applyBorder="1"/>
    <xf numFmtId="1" fontId="0" fillId="2" borderId="10" xfId="0" applyNumberFormat="1" applyFont="1" applyFill="1" applyBorder="1"/>
    <xf numFmtId="0" fontId="0" fillId="0" borderId="0" xfId="0" applyFont="1" applyBorder="1" applyAlignment="1">
      <alignment horizontal="right"/>
    </xf>
    <xf numFmtId="165" fontId="0" fillId="0" borderId="12" xfId="0" applyNumberFormat="1" applyFill="1" applyBorder="1"/>
    <xf numFmtId="0" fontId="0" fillId="0" borderId="0" xfId="0" applyBorder="1" applyAlignment="1">
      <alignment horizontal="right" vertical="center"/>
    </xf>
    <xf numFmtId="164" fontId="0" fillId="0" borderId="0" xfId="0" applyNumberFormat="1" applyFill="1" applyBorder="1" applyAlignment="1">
      <alignment vertical="center"/>
    </xf>
    <xf numFmtId="0" fontId="1" fillId="0" borderId="0" xfId="0" applyFont="1" applyFill="1" applyBorder="1"/>
    <xf numFmtId="0" fontId="4" fillId="0" borderId="0" xfId="0" applyFont="1" applyFill="1" applyBorder="1"/>
    <xf numFmtId="1" fontId="0" fillId="0" borderId="7" xfId="0" applyNumberFormat="1" applyBorder="1"/>
    <xf numFmtId="167" fontId="0" fillId="0" borderId="7" xfId="0" applyNumberFormat="1" applyBorder="1"/>
    <xf numFmtId="166" fontId="0" fillId="0" borderId="7" xfId="1" applyNumberFormat="1" applyFont="1" applyBorder="1"/>
    <xf numFmtId="165" fontId="0" fillId="0" borderId="7" xfId="1" applyNumberFormat="1" applyFont="1" applyBorder="1"/>
    <xf numFmtId="165" fontId="0" fillId="0" borderId="7" xfId="0" applyNumberFormat="1" applyBorder="1"/>
    <xf numFmtId="0" fontId="1" fillId="0" borderId="3" xfId="0" applyFont="1" applyBorder="1" applyAlignment="1">
      <alignment horizontal="left" vertical="center"/>
    </xf>
    <xf numFmtId="0" fontId="1" fillId="0" borderId="5" xfId="0" applyFont="1" applyBorder="1"/>
    <xf numFmtId="1" fontId="0" fillId="0" borderId="8" xfId="0" applyNumberFormat="1" applyFont="1" applyBorder="1"/>
    <xf numFmtId="0" fontId="0" fillId="0" borderId="0" xfId="0" applyFont="1" applyAlignment="1">
      <alignment vertical="top" wrapText="1"/>
    </xf>
    <xf numFmtId="0" fontId="0" fillId="0" borderId="0" xfId="0" applyAlignment="1">
      <alignment vertical="top"/>
    </xf>
    <xf numFmtId="1" fontId="14" fillId="0" borderId="10" xfId="0" applyNumberFormat="1" applyFont="1" applyBorder="1"/>
    <xf numFmtId="0" fontId="1" fillId="0" borderId="0" xfId="0" applyFont="1" applyFill="1" applyBorder="1" applyAlignment="1">
      <alignment horizontal="left"/>
    </xf>
    <xf numFmtId="164" fontId="0" fillId="0" borderId="4" xfId="0" applyNumberFormat="1" applyBorder="1"/>
    <xf numFmtId="0" fontId="0" fillId="0" borderId="5" xfId="0" applyFill="1" applyBorder="1" applyAlignment="1">
      <alignment horizontal="right"/>
    </xf>
    <xf numFmtId="0" fontId="0" fillId="0" borderId="3" xfId="0" applyFill="1" applyBorder="1" applyAlignment="1">
      <alignment horizontal="left"/>
    </xf>
    <xf numFmtId="165" fontId="0" fillId="0" borderId="4" xfId="0" applyNumberFormat="1" applyBorder="1"/>
    <xf numFmtId="0" fontId="1" fillId="0" borderId="3" xfId="0" applyFont="1" applyBorder="1" applyAlignment="1">
      <alignment horizontal="left"/>
    </xf>
    <xf numFmtId="0" fontId="1" fillId="0" borderId="3" xfId="0" applyFont="1" applyFill="1" applyBorder="1" applyAlignment="1">
      <alignment horizontal="right"/>
    </xf>
    <xf numFmtId="2" fontId="0" fillId="0" borderId="0" xfId="0" applyNumberFormat="1" applyBorder="1" applyAlignment="1">
      <alignment horizontal="right"/>
    </xf>
    <xf numFmtId="1" fontId="0" fillId="0" borderId="4" xfId="0" applyNumberFormat="1" applyBorder="1" applyAlignment="1">
      <alignment horizontal="right"/>
    </xf>
    <xf numFmtId="11" fontId="0" fillId="0" borderId="0" xfId="0" applyNumberFormat="1" applyBorder="1"/>
    <xf numFmtId="2" fontId="0" fillId="0" borderId="3" xfId="0" applyNumberFormat="1" applyFill="1" applyBorder="1" applyAlignment="1">
      <alignment horizontal="right"/>
    </xf>
    <xf numFmtId="0" fontId="0" fillId="0" borderId="3" xfId="0" applyFont="1" applyBorder="1" applyAlignment="1">
      <alignment horizontal="right"/>
    </xf>
    <xf numFmtId="164" fontId="0" fillId="0" borderId="0" xfId="0" applyNumberFormat="1" applyFill="1" applyBorder="1"/>
    <xf numFmtId="171" fontId="0" fillId="0" borderId="0" xfId="0" applyNumberFormat="1" applyBorder="1"/>
    <xf numFmtId="1" fontId="0" fillId="2" borderId="10" xfId="0" applyNumberFormat="1" applyFill="1" applyBorder="1" applyAlignment="1">
      <alignment horizontal="right"/>
    </xf>
    <xf numFmtId="1" fontId="0" fillId="2" borderId="9" xfId="0" applyNumberFormat="1" applyFill="1" applyBorder="1" applyAlignment="1">
      <alignment horizontal="right"/>
    </xf>
    <xf numFmtId="0" fontId="1" fillId="0" borderId="2" xfId="0" applyFont="1" applyFill="1" applyBorder="1" applyAlignment="1">
      <alignment horizontal="right"/>
    </xf>
    <xf numFmtId="2" fontId="1" fillId="0" borderId="3" xfId="0" applyNumberFormat="1" applyFont="1" applyBorder="1"/>
    <xf numFmtId="1" fontId="1" fillId="0" borderId="3" xfId="0" applyNumberFormat="1" applyFont="1" applyBorder="1"/>
    <xf numFmtId="164" fontId="0" fillId="2" borderId="3" xfId="0" applyNumberFormat="1" applyFill="1" applyBorder="1"/>
    <xf numFmtId="2" fontId="0" fillId="0" borderId="5" xfId="0" applyNumberFormat="1" applyFill="1" applyBorder="1"/>
    <xf numFmtId="2" fontId="0" fillId="0" borderId="3" xfId="0" applyNumberFormat="1" applyBorder="1" applyAlignment="1">
      <alignment horizontal="right"/>
    </xf>
    <xf numFmtId="0" fontId="1" fillId="0" borderId="0" xfId="0" applyFont="1" applyFill="1" applyBorder="1" applyAlignment="1">
      <alignment horizontal="left" wrapText="1"/>
    </xf>
    <xf numFmtId="0" fontId="0" fillId="0" borderId="0" xfId="0" applyBorder="1" applyAlignment="1">
      <alignment horizontal="left" wrapText="1"/>
    </xf>
    <xf numFmtId="0" fontId="1" fillId="0" borderId="8" xfId="0" applyFont="1" applyBorder="1" applyAlignment="1">
      <alignment horizontal="right" wrapText="1"/>
    </xf>
    <xf numFmtId="0" fontId="15" fillId="0" borderId="0" xfId="0" applyFont="1"/>
    <xf numFmtId="169" fontId="0" fillId="0" borderId="0" xfId="0" applyNumberFormat="1" applyBorder="1"/>
    <xf numFmtId="37" fontId="0" fillId="0" borderId="0" xfId="1" applyNumberFormat="1" applyFont="1" applyBorder="1"/>
    <xf numFmtId="39" fontId="0" fillId="0" borderId="0" xfId="1" applyNumberFormat="1" applyFont="1" applyBorder="1"/>
  </cellXfs>
  <cellStyles count="2">
    <cellStyle name="Currency" xfId="1" builtinId="4"/>
    <cellStyle name="Normal" xfId="0" builtinId="0"/>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a:t>
            </a:r>
          </a:p>
        </c:rich>
      </c:tx>
      <c:layout>
        <c:manualLayout>
          <c:xMode val="edge"/>
          <c:yMode val="edge"/>
          <c:x val="0.18422711653796894"/>
          <c:y val="0.11574074074074074"/>
        </c:manualLayout>
      </c:layout>
      <c:overlay val="1"/>
    </c:title>
    <c:autoTitleDeleted val="0"/>
    <c:plotArea>
      <c:layout>
        <c:manualLayout>
          <c:layoutTarget val="inner"/>
          <c:xMode val="edge"/>
          <c:yMode val="edge"/>
          <c:x val="0.1337527736569161"/>
          <c:y val="9.2951662292213466E-2"/>
          <c:w val="0.81218456388603588"/>
          <c:h val="0.72625364537766113"/>
        </c:manualLayout>
      </c:layout>
      <c:scatterChart>
        <c:scatterStyle val="smoothMarker"/>
        <c:varyColors val="0"/>
        <c:ser>
          <c:idx val="0"/>
          <c:order val="0"/>
          <c:tx>
            <c:strRef>
              <c:f>'WPF Model'!$B$8</c:f>
              <c:strCache>
                <c:ptCount val="1"/>
                <c:pt idx="0">
                  <c:v>0</c:v>
                </c:pt>
              </c:strCache>
            </c:strRef>
          </c:tx>
          <c:marker>
            <c:symbol val="none"/>
          </c:marker>
          <c:xVal>
            <c:numRef>
              <c:f>'WPF Model'!$A$13:$A$22</c:f>
              <c:numCache>
                <c:formatCode>General</c:formatCode>
                <c:ptCount val="10"/>
                <c:pt idx="0">
                  <c:v>0.1</c:v>
                </c:pt>
                <c:pt idx="1">
                  <c:v>0.2</c:v>
                </c:pt>
                <c:pt idx="2">
                  <c:v>0.3</c:v>
                </c:pt>
                <c:pt idx="3">
                  <c:v>0.4</c:v>
                </c:pt>
                <c:pt idx="4">
                  <c:v>0.5</c:v>
                </c:pt>
                <c:pt idx="5">
                  <c:v>0.6</c:v>
                </c:pt>
                <c:pt idx="6">
                  <c:v>0.7</c:v>
                </c:pt>
                <c:pt idx="7">
                  <c:v>0.8</c:v>
                </c:pt>
                <c:pt idx="8">
                  <c:v>0.9</c:v>
                </c:pt>
                <c:pt idx="9">
                  <c:v>1</c:v>
                </c:pt>
              </c:numCache>
            </c:numRef>
          </c:xVal>
          <c:yVal>
            <c:numRef>
              <c:f>'WPF Model'!$B$13:$B$22</c:f>
              <c:numCache>
                <c:formatCode>0.00</c:formatCode>
                <c:ptCount val="10"/>
                <c:pt idx="0">
                  <c:v>-0.38461538461538458</c:v>
                </c:pt>
                <c:pt idx="1">
                  <c:v>-0.23076923076923073</c:v>
                </c:pt>
                <c:pt idx="2">
                  <c:v>-7.6923076923076983E-2</c:v>
                </c:pt>
                <c:pt idx="3">
                  <c:v>7.6923076923076983E-2</c:v>
                </c:pt>
                <c:pt idx="4">
                  <c:v>0.23076923076923073</c:v>
                </c:pt>
                <c:pt idx="5">
                  <c:v>0.38461538461538447</c:v>
                </c:pt>
                <c:pt idx="6">
                  <c:v>0.53846153846153821</c:v>
                </c:pt>
                <c:pt idx="7">
                  <c:v>0.6923076923076924</c:v>
                </c:pt>
                <c:pt idx="8">
                  <c:v>0.84615384615384615</c:v>
                </c:pt>
                <c:pt idx="9">
                  <c:v>0.99999999999999989</c:v>
                </c:pt>
              </c:numCache>
            </c:numRef>
          </c:yVal>
          <c:smooth val="1"/>
          <c:extLst>
            <c:ext xmlns:c16="http://schemas.microsoft.com/office/drawing/2014/chart" uri="{C3380CC4-5D6E-409C-BE32-E72D297353CC}">
              <c16:uniqueId val="{00000000-5556-4A0A-9DBC-D6E3EC9CE061}"/>
            </c:ext>
          </c:extLst>
        </c:ser>
        <c:ser>
          <c:idx val="1"/>
          <c:order val="1"/>
          <c:spPr>
            <a:ln>
              <a:prstDash val="sysDot"/>
            </a:ln>
          </c:spPr>
          <c:marker>
            <c:symbol val="none"/>
          </c:marker>
          <c:xVal>
            <c:numRef>
              <c:f>'WPF Model'!$J$5:$J$6</c:f>
              <c:numCache>
                <c:formatCode>General</c:formatCode>
                <c:ptCount val="2"/>
                <c:pt idx="0">
                  <c:v>0</c:v>
                </c:pt>
                <c:pt idx="1">
                  <c:v>1</c:v>
                </c:pt>
              </c:numCache>
            </c:numRef>
          </c:xVal>
          <c:yVal>
            <c:numRef>
              <c:f>'WPF Model'!$K$5:$K$6</c:f>
              <c:numCache>
                <c:formatCode>General</c:formatCode>
                <c:ptCount val="2"/>
                <c:pt idx="0">
                  <c:v>0</c:v>
                </c:pt>
                <c:pt idx="1">
                  <c:v>1</c:v>
                </c:pt>
              </c:numCache>
            </c:numRef>
          </c:yVal>
          <c:smooth val="1"/>
          <c:extLst>
            <c:ext xmlns:c16="http://schemas.microsoft.com/office/drawing/2014/chart" uri="{C3380CC4-5D6E-409C-BE32-E72D297353CC}">
              <c16:uniqueId val="{00000001-5556-4A0A-9DBC-D6E3EC9CE061}"/>
            </c:ext>
          </c:extLst>
        </c:ser>
        <c:ser>
          <c:idx val="2"/>
          <c:order val="2"/>
          <c:tx>
            <c:v>WP=1</c:v>
          </c:tx>
          <c:spPr>
            <a:ln>
              <a:noFill/>
            </a:ln>
          </c:spPr>
          <c:marker>
            <c:symbol val="diamond"/>
            <c:size val="8"/>
            <c:spPr>
              <a:solidFill>
                <a:schemeClr val="tx1"/>
              </a:solidFill>
              <a:ln>
                <a:solidFill>
                  <a:schemeClr val="tx1"/>
                </a:solidFill>
              </a:ln>
            </c:spPr>
          </c:marker>
          <c:xVal>
            <c:numRef>
              <c:f>'WPF Model'!$B$30</c:f>
              <c:numCache>
                <c:formatCode>0.00</c:formatCode>
                <c:ptCount val="1"/>
                <c:pt idx="0">
                  <c:v>0</c:v>
                </c:pt>
              </c:numCache>
            </c:numRef>
          </c:xVal>
          <c:yVal>
            <c:numRef>
              <c:f>'WPF Model'!$C$30</c:f>
              <c:numCache>
                <c:formatCode>0.00</c:formatCode>
                <c:ptCount val="1"/>
                <c:pt idx="0">
                  <c:v>0</c:v>
                </c:pt>
              </c:numCache>
            </c:numRef>
          </c:yVal>
          <c:smooth val="1"/>
          <c:extLst>
            <c:ext xmlns:c16="http://schemas.microsoft.com/office/drawing/2014/chart" uri="{C3380CC4-5D6E-409C-BE32-E72D297353CC}">
              <c16:uniqueId val="{00000002-5556-4A0A-9DBC-D6E3EC9CE061}"/>
            </c:ext>
          </c:extLst>
        </c:ser>
        <c:ser>
          <c:idx val="3"/>
          <c:order val="3"/>
          <c:tx>
            <c:v>WPmax</c:v>
          </c:tx>
          <c:spPr>
            <a:ln>
              <a:noFill/>
            </a:ln>
          </c:spPr>
          <c:marker>
            <c:symbol val="circle"/>
            <c:size val="7"/>
            <c:spPr>
              <a:solidFill>
                <a:srgbClr val="FFC000"/>
              </a:solidFill>
              <a:ln>
                <a:solidFill>
                  <a:schemeClr val="tx1"/>
                </a:solidFill>
              </a:ln>
            </c:spPr>
          </c:marker>
          <c:xVal>
            <c:numRef>
              <c:f>'WPF Model'!$B$31</c:f>
              <c:numCache>
                <c:formatCode>0.00</c:formatCode>
                <c:ptCount val="1"/>
                <c:pt idx="0">
                  <c:v>0</c:v>
                </c:pt>
              </c:numCache>
            </c:numRef>
          </c:xVal>
          <c:yVal>
            <c:numRef>
              <c:f>'WPF Model'!$C$31</c:f>
              <c:numCache>
                <c:formatCode>0.00</c:formatCode>
                <c:ptCount val="1"/>
                <c:pt idx="0">
                  <c:v>0</c:v>
                </c:pt>
              </c:numCache>
            </c:numRef>
          </c:yVal>
          <c:smooth val="1"/>
          <c:extLst>
            <c:ext xmlns:c16="http://schemas.microsoft.com/office/drawing/2014/chart" uri="{C3380CC4-5D6E-409C-BE32-E72D297353CC}">
              <c16:uniqueId val="{00000003-5556-4A0A-9DBC-D6E3EC9CE061}"/>
            </c:ext>
          </c:extLst>
        </c:ser>
        <c:dLbls>
          <c:showLegendKey val="0"/>
          <c:showVal val="0"/>
          <c:showCatName val="0"/>
          <c:showSerName val="0"/>
          <c:showPercent val="0"/>
          <c:showBubbleSize val="0"/>
        </c:dLbls>
        <c:axId val="57596928"/>
        <c:axId val="57599488"/>
      </c:scatterChart>
      <c:valAx>
        <c:axId val="57596928"/>
        <c:scaling>
          <c:orientation val="minMax"/>
          <c:max val="1"/>
        </c:scaling>
        <c:delete val="0"/>
        <c:axPos val="b"/>
        <c:title>
          <c:tx>
            <c:rich>
              <a:bodyPr/>
              <a:lstStyle/>
              <a:p>
                <a:pPr>
                  <a:defRPr sz="1100"/>
                </a:pPr>
                <a:r>
                  <a:rPr lang="en-US" sz="1100"/>
                  <a:t>Relative ET, </a:t>
                </a:r>
                <a:r>
                  <a:rPr lang="en-US" sz="1100" i="1"/>
                  <a:t>x</a:t>
                </a:r>
              </a:p>
            </c:rich>
          </c:tx>
          <c:overlay val="0"/>
        </c:title>
        <c:numFmt formatCode="General" sourceLinked="1"/>
        <c:majorTickMark val="cross"/>
        <c:minorTickMark val="cross"/>
        <c:tickLblPos val="nextTo"/>
        <c:txPr>
          <a:bodyPr/>
          <a:lstStyle/>
          <a:p>
            <a:pPr>
              <a:defRPr sz="1050"/>
            </a:pPr>
            <a:endParaRPr lang="en-US"/>
          </a:p>
        </c:txPr>
        <c:crossAx val="57599488"/>
        <c:crosses val="autoZero"/>
        <c:crossBetween val="midCat"/>
        <c:minorUnit val="0.1"/>
      </c:valAx>
      <c:valAx>
        <c:axId val="57599488"/>
        <c:scaling>
          <c:orientation val="minMax"/>
          <c:max val="1"/>
          <c:min val="0"/>
        </c:scaling>
        <c:delete val="0"/>
        <c:axPos val="l"/>
        <c:majorGridlines>
          <c:spPr>
            <a:ln>
              <a:noFill/>
            </a:ln>
          </c:spPr>
        </c:majorGridlines>
        <c:title>
          <c:tx>
            <c:rich>
              <a:bodyPr rot="-5400000" vert="horz"/>
              <a:lstStyle/>
              <a:p>
                <a:pPr>
                  <a:defRPr sz="1100"/>
                </a:pPr>
                <a:r>
                  <a:rPr lang="en-US" sz="1100"/>
                  <a:t>Relative Yield, </a:t>
                </a:r>
                <a:r>
                  <a:rPr lang="en-US" sz="1100" i="1"/>
                  <a:t>Y</a:t>
                </a:r>
                <a:r>
                  <a:rPr lang="en-US" sz="1100" i="1" baseline="-25000"/>
                  <a:t>R</a:t>
                </a:r>
              </a:p>
            </c:rich>
          </c:tx>
          <c:overlay val="0"/>
        </c:title>
        <c:numFmt formatCode="0.0" sourceLinked="0"/>
        <c:majorTickMark val="cross"/>
        <c:minorTickMark val="cross"/>
        <c:tickLblPos val="nextTo"/>
        <c:txPr>
          <a:bodyPr/>
          <a:lstStyle/>
          <a:p>
            <a:pPr>
              <a:defRPr sz="1050"/>
            </a:pPr>
            <a:endParaRPr lang="en-US"/>
          </a:p>
        </c:txPr>
        <c:crossAx val="57596928"/>
        <c:crosses val="autoZero"/>
        <c:crossBetween val="midCat"/>
        <c:majorUnit val="0.2"/>
        <c:minorUnit val="0.1"/>
      </c:valAx>
      <c:spPr>
        <a:ln>
          <a:solidFill>
            <a:schemeClr val="tx1"/>
          </a:solidFill>
        </a:ln>
      </c:spPr>
    </c:plotArea>
    <c:legend>
      <c:legendPos val="r"/>
      <c:legendEntry>
        <c:idx val="1"/>
        <c:delete val="1"/>
      </c:legendEntry>
      <c:layout>
        <c:manualLayout>
          <c:xMode val="edge"/>
          <c:yMode val="edge"/>
          <c:x val="0.69684380032206117"/>
          <c:y val="0.51832640711577715"/>
          <c:w val="0.19700508450936385"/>
          <c:h val="0.20948490813648293"/>
        </c:manualLayout>
      </c:layout>
      <c:overlay val="0"/>
      <c:spPr>
        <a:solidFill>
          <a:schemeClr val="bg1"/>
        </a:solidFill>
        <a:ln>
          <a:solidFill>
            <a:schemeClr val="tx1"/>
          </a:solidFill>
        </a:ln>
      </c:spPr>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22285850632307"/>
          <c:y val="5.1400554097404488E-2"/>
          <c:w val="0.7725833929849677"/>
          <c:h val="0.79856800015867035"/>
        </c:manualLayout>
      </c:layout>
      <c:scatterChart>
        <c:scatterStyle val="smoothMarker"/>
        <c:varyColors val="0"/>
        <c:ser>
          <c:idx val="1"/>
          <c:order val="0"/>
          <c:tx>
            <c:v>Revenue</c:v>
          </c:tx>
          <c:spPr>
            <a:ln>
              <a:solidFill>
                <a:schemeClr val="tx1"/>
              </a:solidFill>
              <a:prstDash val="sysDash"/>
            </a:ln>
          </c:spPr>
          <c:marker>
            <c:symbol val="none"/>
          </c:marker>
          <c:xVal>
            <c:numRef>
              <c:f>UnlWaterNI!$D$14:$D$114</c:f>
              <c:numCache>
                <c:formatCode>0</c:formatCode>
                <c:ptCount val="101"/>
                <c:pt idx="0">
                  <c:v>520</c:v>
                </c:pt>
                <c:pt idx="1">
                  <c:v>509.97363140350592</c:v>
                </c:pt>
                <c:pt idx="2">
                  <c:v>500.09241534094667</c:v>
                </c:pt>
                <c:pt idx="3">
                  <c:v>490.35325417549376</c:v>
                </c:pt>
                <c:pt idx="4">
                  <c:v>480.75313807531364</c:v>
                </c:pt>
                <c:pt idx="5">
                  <c:v>471.28914192761295</c:v>
                </c:pt>
                <c:pt idx="6">
                  <c:v>461.95842238197019</c:v>
                </c:pt>
                <c:pt idx="7">
                  <c:v>452.75821501667974</c:v>
                </c:pt>
                <c:pt idx="8">
                  <c:v>443.68583162217658</c:v>
                </c:pt>
                <c:pt idx="9">
                  <c:v>434.7386575959373</c:v>
                </c:pt>
                <c:pt idx="10">
                  <c:v>425.9141494435612</c:v>
                </c:pt>
                <c:pt idx="11">
                  <c:v>417.20983238101252</c:v>
                </c:pt>
                <c:pt idx="12">
                  <c:v>408.62329803328282</c:v>
                </c:pt>
                <c:pt idx="13">
                  <c:v>400.15220222497686</c:v>
                </c:pt>
                <c:pt idx="14">
                  <c:v>391.79426285857136</c:v>
                </c:pt>
                <c:pt idx="15">
                  <c:v>383.5472578763127</c:v>
                </c:pt>
                <c:pt idx="16">
                  <c:v>375.4090233019333</c:v>
                </c:pt>
                <c:pt idx="17">
                  <c:v>367.37745135856545</c:v>
                </c:pt>
                <c:pt idx="18">
                  <c:v>359.45048865941345</c:v>
                </c:pt>
                <c:pt idx="19">
                  <c:v>351.62613446792864</c:v>
                </c:pt>
                <c:pt idx="20">
                  <c:v>343.90243902439016</c:v>
                </c:pt>
                <c:pt idx="21">
                  <c:v>336.27750193595398</c:v>
                </c:pt>
                <c:pt idx="22">
                  <c:v>328.74947062738198</c:v>
                </c:pt>
                <c:pt idx="23">
                  <c:v>321.31653884979886</c:v>
                </c:pt>
                <c:pt idx="24">
                  <c:v>313.97694524495671</c:v>
                </c:pt>
                <c:pt idx="25">
                  <c:v>306.72897196261664</c:v>
                </c:pt>
                <c:pt idx="26">
                  <c:v>299.57094332876454</c:v>
                </c:pt>
                <c:pt idx="27">
                  <c:v>292.50122456249687</c:v>
                </c:pt>
                <c:pt idx="28">
                  <c:v>285.51822053951719</c:v>
                </c:pt>
                <c:pt idx="29">
                  <c:v>278.62037460027392</c:v>
                </c:pt>
                <c:pt idx="30">
                  <c:v>271.8061674008809</c:v>
                </c:pt>
                <c:pt idx="31">
                  <c:v>265.07411580503071</c:v>
                </c:pt>
                <c:pt idx="32">
                  <c:v>258.42277181521217</c:v>
                </c:pt>
                <c:pt idx="33">
                  <c:v>251.85072154161386</c:v>
                </c:pt>
                <c:pt idx="34">
                  <c:v>245.35658420717201</c:v>
                </c:pt>
                <c:pt idx="35">
                  <c:v>238.93901118729667</c:v>
                </c:pt>
                <c:pt idx="36">
                  <c:v>232.59668508287274</c:v>
                </c:pt>
                <c:pt idx="37">
                  <c:v>226.32831882519955</c:v>
                </c:pt>
                <c:pt idx="38">
                  <c:v>220.13265481159561</c:v>
                </c:pt>
                <c:pt idx="39">
                  <c:v>214.00846407044824</c:v>
                </c:pt>
                <c:pt idx="40">
                  <c:v>207.95454545454515</c:v>
                </c:pt>
                <c:pt idx="41">
                  <c:v>201.969724861581</c:v>
                </c:pt>
                <c:pt idx="42">
                  <c:v>196.05285448077228</c:v>
                </c:pt>
                <c:pt idx="43">
                  <c:v>190.20281206457301</c:v>
                </c:pt>
                <c:pt idx="44">
                  <c:v>184.41850022451706</c:v>
                </c:pt>
                <c:pt idx="45">
                  <c:v>178.69884575026219</c:v>
                </c:pt>
                <c:pt idx="46">
                  <c:v>173.0427989509511</c:v>
                </c:pt>
                <c:pt idx="47">
                  <c:v>167.44933301804099</c:v>
                </c:pt>
                <c:pt idx="48">
                  <c:v>161.91744340878802</c:v>
                </c:pt>
                <c:pt idx="49">
                  <c:v>156.44614724961596</c:v>
                </c:pt>
                <c:pt idx="50">
                  <c:v>151.0344827586205</c:v>
                </c:pt>
                <c:pt idx="51">
                  <c:v>145.68150868650156</c:v>
                </c:pt>
                <c:pt idx="52">
                  <c:v>140.38630377524117</c:v>
                </c:pt>
                <c:pt idx="53">
                  <c:v>135.14796623387258</c:v>
                </c:pt>
                <c:pt idx="54">
                  <c:v>129.96561323071856</c:v>
                </c:pt>
                <c:pt idx="55">
                  <c:v>124.83838040149691</c:v>
                </c:pt>
                <c:pt idx="56">
                  <c:v>119.76542137271912</c:v>
                </c:pt>
                <c:pt idx="57">
                  <c:v>114.74590729983314</c:v>
                </c:pt>
                <c:pt idx="58">
                  <c:v>109.77902641957948</c:v>
                </c:pt>
                <c:pt idx="59">
                  <c:v>104.86398361605485</c:v>
                </c:pt>
                <c:pt idx="60">
                  <c:v>99.999999999999716</c:v>
                </c:pt>
                <c:pt idx="61">
                  <c:v>95.186312500837786</c:v>
                </c:pt>
                <c:pt idx="62">
                  <c:v>90.422173471025488</c:v>
                </c:pt>
                <c:pt idx="63">
                  <c:v>85.706850302277886</c:v>
                </c:pt>
                <c:pt idx="64">
                  <c:v>81.039625053259186</c:v>
                </c:pt>
                <c:pt idx="65">
                  <c:v>76.419794088342471</c:v>
                </c:pt>
                <c:pt idx="66">
                  <c:v>71.846667727055618</c:v>
                </c:pt>
                <c:pt idx="67">
                  <c:v>67.319569903849683</c:v>
                </c:pt>
                <c:pt idx="68">
                  <c:v>62.837837837837519</c:v>
                </c:pt>
                <c:pt idx="69">
                  <c:v>58.400821712163435</c:v>
                </c:pt>
                <c:pt idx="70">
                  <c:v>54.007884362680414</c:v>
                </c:pt>
                <c:pt idx="71">
                  <c:v>49.658400975622342</c:v>
                </c:pt>
                <c:pt idx="72">
                  <c:v>45.351758793969537</c:v>
                </c:pt>
                <c:pt idx="73">
                  <c:v>41.087356832220799</c:v>
                </c:pt>
                <c:pt idx="74">
                  <c:v>36.864605599290755</c:v>
                </c:pt>
                <c:pt idx="75">
                  <c:v>32.682926829267963</c:v>
                </c:pt>
                <c:pt idx="76">
                  <c:v>28.541753219775423</c:v>
                </c:pt>
                <c:pt idx="77">
                  <c:v>24.440528177683017</c:v>
                </c:pt>
                <c:pt idx="78">
                  <c:v>20.378705571938237</c:v>
                </c:pt>
                <c:pt idx="79">
                  <c:v>16.355749493280086</c:v>
                </c:pt>
                <c:pt idx="80">
                  <c:v>12.371134020618292</c:v>
                </c:pt>
                <c:pt idx="81">
                  <c:v>8.4243429938638066</c:v>
                </c:pt>
                <c:pt idx="82">
                  <c:v>4.5148697930040393</c:v>
                </c:pt>
                <c:pt idx="83">
                  <c:v>0.64221712322588975</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UnlWaterNI!$E$14:$E$114</c:f>
              <c:numCache>
                <c:formatCode>"$"#,##0</c:formatCode>
                <c:ptCount val="101"/>
                <c:pt idx="0">
                  <c:v>2500</c:v>
                </c:pt>
                <c:pt idx="1">
                  <c:v>2480.7692307692305</c:v>
                </c:pt>
                <c:pt idx="2">
                  <c:v>2461.5384615384614</c:v>
                </c:pt>
                <c:pt idx="3">
                  <c:v>2442.3076923076924</c:v>
                </c:pt>
                <c:pt idx="4">
                  <c:v>2423.0769230769229</c:v>
                </c:pt>
                <c:pt idx="5">
                  <c:v>2403.8461538461534</c:v>
                </c:pt>
                <c:pt idx="6">
                  <c:v>2384.6153846153843</c:v>
                </c:pt>
                <c:pt idx="7">
                  <c:v>2365.3846153846148</c:v>
                </c:pt>
                <c:pt idx="8">
                  <c:v>2346.1538461538457</c:v>
                </c:pt>
                <c:pt idx="9">
                  <c:v>2326.9230769230767</c:v>
                </c:pt>
                <c:pt idx="10">
                  <c:v>2307.6923076923072</c:v>
                </c:pt>
                <c:pt idx="11">
                  <c:v>2288.4615384615381</c:v>
                </c:pt>
                <c:pt idx="12">
                  <c:v>2269.2307692307691</c:v>
                </c:pt>
                <c:pt idx="13">
                  <c:v>2249.9999999999995</c:v>
                </c:pt>
                <c:pt idx="14">
                  <c:v>2230.7692307692305</c:v>
                </c:pt>
                <c:pt idx="15">
                  <c:v>2211.5384615384614</c:v>
                </c:pt>
                <c:pt idx="16">
                  <c:v>2192.3076923076919</c:v>
                </c:pt>
                <c:pt idx="17">
                  <c:v>2173.0769230769224</c:v>
                </c:pt>
                <c:pt idx="18">
                  <c:v>2153.8461538461534</c:v>
                </c:pt>
                <c:pt idx="19">
                  <c:v>2134.6153846153843</c:v>
                </c:pt>
                <c:pt idx="20">
                  <c:v>2115.3846153846148</c:v>
                </c:pt>
                <c:pt idx="21">
                  <c:v>2096.1538461538457</c:v>
                </c:pt>
                <c:pt idx="22">
                  <c:v>2076.9230769230767</c:v>
                </c:pt>
                <c:pt idx="23">
                  <c:v>2057.6923076923076</c:v>
                </c:pt>
                <c:pt idx="24">
                  <c:v>2038.4615384615377</c:v>
                </c:pt>
                <c:pt idx="25">
                  <c:v>2019.2307692307686</c:v>
                </c:pt>
                <c:pt idx="26">
                  <c:v>1999.9999999999993</c:v>
                </c:pt>
                <c:pt idx="27">
                  <c:v>1980.7692307692303</c:v>
                </c:pt>
                <c:pt idx="28">
                  <c:v>1961.538461538461</c:v>
                </c:pt>
                <c:pt idx="29">
                  <c:v>1942.3076923076919</c:v>
                </c:pt>
                <c:pt idx="30">
                  <c:v>1923.076923076922</c:v>
                </c:pt>
                <c:pt idx="31">
                  <c:v>1903.8461538461529</c:v>
                </c:pt>
                <c:pt idx="32">
                  <c:v>1884.6153846153838</c:v>
                </c:pt>
                <c:pt idx="33">
                  <c:v>1865.3846153846146</c:v>
                </c:pt>
                <c:pt idx="34">
                  <c:v>1846.1538461538455</c:v>
                </c:pt>
                <c:pt idx="35">
                  <c:v>1826.9230769230762</c:v>
                </c:pt>
                <c:pt idx="36">
                  <c:v>1807.6923076923072</c:v>
                </c:pt>
                <c:pt idx="37">
                  <c:v>1788.4615384615372</c:v>
                </c:pt>
                <c:pt idx="38">
                  <c:v>1769.2307692307681</c:v>
                </c:pt>
                <c:pt idx="39">
                  <c:v>1749.9999999999991</c:v>
                </c:pt>
                <c:pt idx="40">
                  <c:v>1730.7692307692298</c:v>
                </c:pt>
                <c:pt idx="41">
                  <c:v>1711.5384615384608</c:v>
                </c:pt>
                <c:pt idx="42">
                  <c:v>1692.3076923076915</c:v>
                </c:pt>
                <c:pt idx="43">
                  <c:v>1673.0769230769224</c:v>
                </c:pt>
                <c:pt idx="44">
                  <c:v>1653.8461538461529</c:v>
                </c:pt>
                <c:pt idx="45">
                  <c:v>1634.6153846153836</c:v>
                </c:pt>
                <c:pt idx="46">
                  <c:v>1615.3846153846143</c:v>
                </c:pt>
                <c:pt idx="47">
                  <c:v>1596.1538461538453</c:v>
                </c:pt>
                <c:pt idx="48">
                  <c:v>1576.9230769230762</c:v>
                </c:pt>
                <c:pt idx="49">
                  <c:v>1557.6923076923069</c:v>
                </c:pt>
                <c:pt idx="50">
                  <c:v>1538.4615384615372</c:v>
                </c:pt>
                <c:pt idx="51">
                  <c:v>1519.2307692307681</c:v>
                </c:pt>
                <c:pt idx="52">
                  <c:v>1499.9999999999991</c:v>
                </c:pt>
                <c:pt idx="53">
                  <c:v>1480.7692307692298</c:v>
                </c:pt>
                <c:pt idx="54">
                  <c:v>1461.5384615384605</c:v>
                </c:pt>
                <c:pt idx="55">
                  <c:v>1442.3076923076915</c:v>
                </c:pt>
                <c:pt idx="56">
                  <c:v>1423.0769230769222</c:v>
                </c:pt>
                <c:pt idx="57">
                  <c:v>1403.8461538461524</c:v>
                </c:pt>
                <c:pt idx="58">
                  <c:v>1384.6153846153834</c:v>
                </c:pt>
                <c:pt idx="59">
                  <c:v>1365.3846153846143</c:v>
                </c:pt>
                <c:pt idx="60">
                  <c:v>1346.1538461538451</c:v>
                </c:pt>
                <c:pt idx="61">
                  <c:v>1326.923076923076</c:v>
                </c:pt>
                <c:pt idx="62">
                  <c:v>1307.6923076923067</c:v>
                </c:pt>
                <c:pt idx="63">
                  <c:v>1288.4615384615377</c:v>
                </c:pt>
                <c:pt idx="64">
                  <c:v>1269.2307692307677</c:v>
                </c:pt>
                <c:pt idx="65">
                  <c:v>1249.9999999999986</c:v>
                </c:pt>
                <c:pt idx="66">
                  <c:v>1230.7692307692296</c:v>
                </c:pt>
                <c:pt idx="67">
                  <c:v>1211.5384615384603</c:v>
                </c:pt>
                <c:pt idx="68">
                  <c:v>1192.3076923076912</c:v>
                </c:pt>
                <c:pt idx="69">
                  <c:v>1173.076923076922</c:v>
                </c:pt>
                <c:pt idx="70">
                  <c:v>1153.8461538461524</c:v>
                </c:pt>
                <c:pt idx="71">
                  <c:v>1134.6153846153834</c:v>
                </c:pt>
                <c:pt idx="72">
                  <c:v>1115.3846153846141</c:v>
                </c:pt>
                <c:pt idx="73">
                  <c:v>1096.1538461538448</c:v>
                </c:pt>
                <c:pt idx="74">
                  <c:v>1076.9230769230758</c:v>
                </c:pt>
                <c:pt idx="75">
                  <c:v>1057.6923076923063</c:v>
                </c:pt>
                <c:pt idx="76">
                  <c:v>1038.461538461537</c:v>
                </c:pt>
                <c:pt idx="77">
                  <c:v>1019.2307692307679</c:v>
                </c:pt>
                <c:pt idx="78">
                  <c:v>999.99999999999841</c:v>
                </c:pt>
                <c:pt idx="79">
                  <c:v>980.76923076922924</c:v>
                </c:pt>
                <c:pt idx="80">
                  <c:v>961.53846153846007</c:v>
                </c:pt>
                <c:pt idx="81">
                  <c:v>942.30769230769101</c:v>
                </c:pt>
                <c:pt idx="82">
                  <c:v>923.0769230769215</c:v>
                </c:pt>
                <c:pt idx="83">
                  <c:v>903.84615384615233</c:v>
                </c:pt>
                <c:pt idx="84">
                  <c:v>884.61538461538316</c:v>
                </c:pt>
                <c:pt idx="85">
                  <c:v>865.38461538461365</c:v>
                </c:pt>
                <c:pt idx="86">
                  <c:v>846.15384615384448</c:v>
                </c:pt>
                <c:pt idx="87">
                  <c:v>826.92307692307531</c:v>
                </c:pt>
                <c:pt idx="88">
                  <c:v>807.69230769230592</c:v>
                </c:pt>
                <c:pt idx="89">
                  <c:v>788.46153846153675</c:v>
                </c:pt>
                <c:pt idx="90">
                  <c:v>769.23076923076769</c:v>
                </c:pt>
                <c:pt idx="91">
                  <c:v>749.99999999999852</c:v>
                </c:pt>
                <c:pt idx="92">
                  <c:v>730.76923076922913</c:v>
                </c:pt>
                <c:pt idx="93">
                  <c:v>711.53846153845996</c:v>
                </c:pt>
                <c:pt idx="94">
                  <c:v>692.30769230769067</c:v>
                </c:pt>
                <c:pt idx="95">
                  <c:v>673.07692307692128</c:v>
                </c:pt>
                <c:pt idx="96">
                  <c:v>653.84615384615211</c:v>
                </c:pt>
                <c:pt idx="97">
                  <c:v>634.61538461538294</c:v>
                </c:pt>
                <c:pt idx="98">
                  <c:v>615.38461538461354</c:v>
                </c:pt>
                <c:pt idx="99">
                  <c:v>596.15384615384426</c:v>
                </c:pt>
                <c:pt idx="100">
                  <c:v>576.9230769230752</c:v>
                </c:pt>
              </c:numCache>
            </c:numRef>
          </c:yVal>
          <c:smooth val="1"/>
          <c:extLst>
            <c:ext xmlns:c16="http://schemas.microsoft.com/office/drawing/2014/chart" uri="{C3380CC4-5D6E-409C-BE32-E72D297353CC}">
              <c16:uniqueId val="{00000007-15F8-43B9-A530-CD145558DCE8}"/>
            </c:ext>
          </c:extLst>
        </c:ser>
        <c:ser>
          <c:idx val="2"/>
          <c:order val="1"/>
          <c:tx>
            <c:v>Cost</c:v>
          </c:tx>
          <c:spPr>
            <a:ln>
              <a:solidFill>
                <a:schemeClr val="tx1"/>
              </a:solidFill>
              <a:prstDash val="sysDot"/>
            </a:ln>
          </c:spPr>
          <c:marker>
            <c:symbol val="none"/>
          </c:marker>
          <c:xVal>
            <c:numRef>
              <c:f>UnlWaterNI!$D$14:$D$114</c:f>
              <c:numCache>
                <c:formatCode>0</c:formatCode>
                <c:ptCount val="101"/>
                <c:pt idx="0">
                  <c:v>520</c:v>
                </c:pt>
                <c:pt idx="1">
                  <c:v>509.97363140350592</c:v>
                </c:pt>
                <c:pt idx="2">
                  <c:v>500.09241534094667</c:v>
                </c:pt>
                <c:pt idx="3">
                  <c:v>490.35325417549376</c:v>
                </c:pt>
                <c:pt idx="4">
                  <c:v>480.75313807531364</c:v>
                </c:pt>
                <c:pt idx="5">
                  <c:v>471.28914192761295</c:v>
                </c:pt>
                <c:pt idx="6">
                  <c:v>461.95842238197019</c:v>
                </c:pt>
                <c:pt idx="7">
                  <c:v>452.75821501667974</c:v>
                </c:pt>
                <c:pt idx="8">
                  <c:v>443.68583162217658</c:v>
                </c:pt>
                <c:pt idx="9">
                  <c:v>434.7386575959373</c:v>
                </c:pt>
                <c:pt idx="10">
                  <c:v>425.9141494435612</c:v>
                </c:pt>
                <c:pt idx="11">
                  <c:v>417.20983238101252</c:v>
                </c:pt>
                <c:pt idx="12">
                  <c:v>408.62329803328282</c:v>
                </c:pt>
                <c:pt idx="13">
                  <c:v>400.15220222497686</c:v>
                </c:pt>
                <c:pt idx="14">
                  <c:v>391.79426285857136</c:v>
                </c:pt>
                <c:pt idx="15">
                  <c:v>383.5472578763127</c:v>
                </c:pt>
                <c:pt idx="16">
                  <c:v>375.4090233019333</c:v>
                </c:pt>
                <c:pt idx="17">
                  <c:v>367.37745135856545</c:v>
                </c:pt>
                <c:pt idx="18">
                  <c:v>359.45048865941345</c:v>
                </c:pt>
                <c:pt idx="19">
                  <c:v>351.62613446792864</c:v>
                </c:pt>
                <c:pt idx="20">
                  <c:v>343.90243902439016</c:v>
                </c:pt>
                <c:pt idx="21">
                  <c:v>336.27750193595398</c:v>
                </c:pt>
                <c:pt idx="22">
                  <c:v>328.74947062738198</c:v>
                </c:pt>
                <c:pt idx="23">
                  <c:v>321.31653884979886</c:v>
                </c:pt>
                <c:pt idx="24">
                  <c:v>313.97694524495671</c:v>
                </c:pt>
                <c:pt idx="25">
                  <c:v>306.72897196261664</c:v>
                </c:pt>
                <c:pt idx="26">
                  <c:v>299.57094332876454</c:v>
                </c:pt>
                <c:pt idx="27">
                  <c:v>292.50122456249687</c:v>
                </c:pt>
                <c:pt idx="28">
                  <c:v>285.51822053951719</c:v>
                </c:pt>
                <c:pt idx="29">
                  <c:v>278.62037460027392</c:v>
                </c:pt>
                <c:pt idx="30">
                  <c:v>271.8061674008809</c:v>
                </c:pt>
                <c:pt idx="31">
                  <c:v>265.07411580503071</c:v>
                </c:pt>
                <c:pt idx="32">
                  <c:v>258.42277181521217</c:v>
                </c:pt>
                <c:pt idx="33">
                  <c:v>251.85072154161386</c:v>
                </c:pt>
                <c:pt idx="34">
                  <c:v>245.35658420717201</c:v>
                </c:pt>
                <c:pt idx="35">
                  <c:v>238.93901118729667</c:v>
                </c:pt>
                <c:pt idx="36">
                  <c:v>232.59668508287274</c:v>
                </c:pt>
                <c:pt idx="37">
                  <c:v>226.32831882519955</c:v>
                </c:pt>
                <c:pt idx="38">
                  <c:v>220.13265481159561</c:v>
                </c:pt>
                <c:pt idx="39">
                  <c:v>214.00846407044824</c:v>
                </c:pt>
                <c:pt idx="40">
                  <c:v>207.95454545454515</c:v>
                </c:pt>
                <c:pt idx="41">
                  <c:v>201.969724861581</c:v>
                </c:pt>
                <c:pt idx="42">
                  <c:v>196.05285448077228</c:v>
                </c:pt>
                <c:pt idx="43">
                  <c:v>190.20281206457301</c:v>
                </c:pt>
                <c:pt idx="44">
                  <c:v>184.41850022451706</c:v>
                </c:pt>
                <c:pt idx="45">
                  <c:v>178.69884575026219</c:v>
                </c:pt>
                <c:pt idx="46">
                  <c:v>173.0427989509511</c:v>
                </c:pt>
                <c:pt idx="47">
                  <c:v>167.44933301804099</c:v>
                </c:pt>
                <c:pt idx="48">
                  <c:v>161.91744340878802</c:v>
                </c:pt>
                <c:pt idx="49">
                  <c:v>156.44614724961596</c:v>
                </c:pt>
                <c:pt idx="50">
                  <c:v>151.0344827586205</c:v>
                </c:pt>
                <c:pt idx="51">
                  <c:v>145.68150868650156</c:v>
                </c:pt>
                <c:pt idx="52">
                  <c:v>140.38630377524117</c:v>
                </c:pt>
                <c:pt idx="53">
                  <c:v>135.14796623387258</c:v>
                </c:pt>
                <c:pt idx="54">
                  <c:v>129.96561323071856</c:v>
                </c:pt>
                <c:pt idx="55">
                  <c:v>124.83838040149691</c:v>
                </c:pt>
                <c:pt idx="56">
                  <c:v>119.76542137271912</c:v>
                </c:pt>
                <c:pt idx="57">
                  <c:v>114.74590729983314</c:v>
                </c:pt>
                <c:pt idx="58">
                  <c:v>109.77902641957948</c:v>
                </c:pt>
                <c:pt idx="59">
                  <c:v>104.86398361605485</c:v>
                </c:pt>
                <c:pt idx="60">
                  <c:v>99.999999999999716</c:v>
                </c:pt>
                <c:pt idx="61">
                  <c:v>95.186312500837786</c:v>
                </c:pt>
                <c:pt idx="62">
                  <c:v>90.422173471025488</c:v>
                </c:pt>
                <c:pt idx="63">
                  <c:v>85.706850302277886</c:v>
                </c:pt>
                <c:pt idx="64">
                  <c:v>81.039625053259186</c:v>
                </c:pt>
                <c:pt idx="65">
                  <c:v>76.419794088342471</c:v>
                </c:pt>
                <c:pt idx="66">
                  <c:v>71.846667727055618</c:v>
                </c:pt>
                <c:pt idx="67">
                  <c:v>67.319569903849683</c:v>
                </c:pt>
                <c:pt idx="68">
                  <c:v>62.837837837837519</c:v>
                </c:pt>
                <c:pt idx="69">
                  <c:v>58.400821712163435</c:v>
                </c:pt>
                <c:pt idx="70">
                  <c:v>54.007884362680414</c:v>
                </c:pt>
                <c:pt idx="71">
                  <c:v>49.658400975622342</c:v>
                </c:pt>
                <c:pt idx="72">
                  <c:v>45.351758793969537</c:v>
                </c:pt>
                <c:pt idx="73">
                  <c:v>41.087356832220799</c:v>
                </c:pt>
                <c:pt idx="74">
                  <c:v>36.864605599290755</c:v>
                </c:pt>
                <c:pt idx="75">
                  <c:v>32.682926829267963</c:v>
                </c:pt>
                <c:pt idx="76">
                  <c:v>28.541753219775423</c:v>
                </c:pt>
                <c:pt idx="77">
                  <c:v>24.440528177683017</c:v>
                </c:pt>
                <c:pt idx="78">
                  <c:v>20.378705571938237</c:v>
                </c:pt>
                <c:pt idx="79">
                  <c:v>16.355749493280086</c:v>
                </c:pt>
                <c:pt idx="80">
                  <c:v>12.371134020618292</c:v>
                </c:pt>
                <c:pt idx="81">
                  <c:v>8.4243429938638066</c:v>
                </c:pt>
                <c:pt idx="82">
                  <c:v>4.5148697930040393</c:v>
                </c:pt>
                <c:pt idx="83">
                  <c:v>0.64221712322588975</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UnlWaterNI!$H$14:$H$114</c:f>
              <c:numCache>
                <c:formatCode>"$"#,##0</c:formatCode>
                <c:ptCount val="101"/>
                <c:pt idx="0">
                  <c:v>2205</c:v>
                </c:pt>
                <c:pt idx="1">
                  <c:v>2185.1527547975666</c:v>
                </c:pt>
                <c:pt idx="2">
                  <c:v>2165.5232383960356</c:v>
                </c:pt>
                <c:pt idx="3">
                  <c:v>2146.1068043401638</c:v>
                </c:pt>
                <c:pt idx="4">
                  <c:v>2126.8989378822012</c:v>
                </c:pt>
                <c:pt idx="5">
                  <c:v>2107.8952513529575</c:v>
                </c:pt>
                <c:pt idx="6">
                  <c:v>2089.0914797268015</c:v>
                </c:pt>
                <c:pt idx="7">
                  <c:v>2070.4834763711733</c:v>
                </c:pt>
                <c:pt idx="8">
                  <c:v>2052.0672089717264</c:v>
                </c:pt>
                <c:pt idx="9">
                  <c:v>2033.8387556246753</c:v>
                </c:pt>
                <c:pt idx="10">
                  <c:v>2015.7943010884187</c:v>
                </c:pt>
                <c:pt idx="11">
                  <c:v>1997.9301331869033</c:v>
                </c:pt>
                <c:pt idx="12">
                  <c:v>1980.2426393576166</c:v>
                </c:pt>
                <c:pt idx="13">
                  <c:v>1962.7283033374651</c:v>
                </c:pt>
                <c:pt idx="14">
                  <c:v>1945.3837019801647</c:v>
                </c:pt>
                <c:pt idx="15">
                  <c:v>1928.2055021990845</c:v>
                </c:pt>
                <c:pt idx="16">
                  <c:v>1911.1904580298228</c:v>
                </c:pt>
                <c:pt idx="17">
                  <c:v>1894.3354078070788</c:v>
                </c:pt>
                <c:pt idx="18">
                  <c:v>1877.6372714506585</c:v>
                </c:pt>
                <c:pt idx="19">
                  <c:v>1861.0930478557389</c:v>
                </c:pt>
                <c:pt idx="20">
                  <c:v>1844.6998123827389</c:v>
                </c:pt>
                <c:pt idx="21">
                  <c:v>1828.4547144423923</c:v>
                </c:pt>
                <c:pt idx="22">
                  <c:v>1812.3549751718422</c:v>
                </c:pt>
                <c:pt idx="23">
                  <c:v>1796.3978851977752</c:v>
                </c:pt>
                <c:pt idx="24">
                  <c:v>1780.5808024828195</c:v>
                </c:pt>
                <c:pt idx="25">
                  <c:v>1764.9011502516171</c:v>
                </c:pt>
                <c:pt idx="26">
                  <c:v>1749.3564149931467</c:v>
                </c:pt>
                <c:pt idx="27">
                  <c:v>1733.9441445360528</c:v>
                </c:pt>
                <c:pt idx="28">
                  <c:v>1718.661946193891</c:v>
                </c:pt>
                <c:pt idx="29">
                  <c:v>1703.5074849773339</c:v>
                </c:pt>
                <c:pt idx="30">
                  <c:v>1688.4784818705518</c:v>
                </c:pt>
                <c:pt idx="31">
                  <c:v>1673.5727121690843</c:v>
                </c:pt>
                <c:pt idx="32">
                  <c:v>1658.7880038766643</c:v>
                </c:pt>
                <c:pt idx="33">
                  <c:v>1644.1222361585744</c:v>
                </c:pt>
                <c:pt idx="34">
                  <c:v>1629.5733378492193</c:v>
                </c:pt>
                <c:pt idx="35">
                  <c:v>1615.1392860117139</c:v>
                </c:pt>
                <c:pt idx="36">
                  <c:v>1600.8181045473859</c:v>
                </c:pt>
                <c:pt idx="37">
                  <c:v>1586.6078628531836</c:v>
                </c:pt>
                <c:pt idx="38">
                  <c:v>1572.5066745250856</c:v>
                </c:pt>
                <c:pt idx="39">
                  <c:v>1558.5126961056721</c:v>
                </c:pt>
                <c:pt idx="40">
                  <c:v>1544.6241258741252</c:v>
                </c:pt>
                <c:pt idx="41">
                  <c:v>1530.8392026769866</c:v>
                </c:pt>
                <c:pt idx="42">
                  <c:v>1517.1562047980813</c:v>
                </c:pt>
                <c:pt idx="43">
                  <c:v>1503.5734488660901</c:v>
                </c:pt>
                <c:pt idx="44">
                  <c:v>1490.0892887983139</c:v>
                </c:pt>
                <c:pt idx="45">
                  <c:v>1476.7021147792393</c:v>
                </c:pt>
                <c:pt idx="46">
                  <c:v>1463.4103522725802</c:v>
                </c:pt>
                <c:pt idx="47">
                  <c:v>1450.2124610655228</c:v>
                </c:pt>
                <c:pt idx="48">
                  <c:v>1437.106934343951</c:v>
                </c:pt>
                <c:pt idx="49">
                  <c:v>1424.0922977975006</c:v>
                </c:pt>
                <c:pt idx="50">
                  <c:v>1411.167108753315</c:v>
                </c:pt>
                <c:pt idx="51">
                  <c:v>1398.3299553374445</c:v>
                </c:pt>
                <c:pt idx="52">
                  <c:v>1385.5794556628616</c:v>
                </c:pt>
                <c:pt idx="53">
                  <c:v>1372.9142570431163</c:v>
                </c:pt>
                <c:pt idx="54">
                  <c:v>1360.333035230693</c:v>
                </c:pt>
                <c:pt idx="55">
                  <c:v>1347.8344936791682</c:v>
                </c:pt>
                <c:pt idx="56">
                  <c:v>1335.4173628283093</c:v>
                </c:pt>
                <c:pt idx="57">
                  <c:v>1323.0803994112878</c:v>
                </c:pt>
                <c:pt idx="58">
                  <c:v>1310.8223857832149</c:v>
                </c:pt>
                <c:pt idx="59">
                  <c:v>1298.6421292702357</c:v>
                </c:pt>
                <c:pt idx="60">
                  <c:v>1286.538461538461</c:v>
                </c:pt>
                <c:pt idx="61">
                  <c:v>1274.5102379820257</c:v>
                </c:pt>
                <c:pt idx="62">
                  <c:v>1262.5563371296148</c:v>
                </c:pt>
                <c:pt idx="63">
                  <c:v>1250.6756600688013</c:v>
                </c:pt>
                <c:pt idx="64">
                  <c:v>1238.8671298875806</c:v>
                </c:pt>
                <c:pt idx="65">
                  <c:v>1227.1296911325135</c:v>
                </c:pt>
                <c:pt idx="66">
                  <c:v>1215.4623092828908</c:v>
                </c:pt>
                <c:pt idx="67">
                  <c:v>1203.8639702403896</c:v>
                </c:pt>
                <c:pt idx="68">
                  <c:v>1192.3336798336791</c:v>
                </c:pt>
                <c:pt idx="69">
                  <c:v>1180.8704633374757</c:v>
                </c:pt>
                <c:pt idx="70">
                  <c:v>1169.4733650055587</c:v>
                </c:pt>
                <c:pt idx="71">
                  <c:v>1158.1414476172795</c:v>
                </c:pt>
                <c:pt idx="72">
                  <c:v>1146.8737920371077</c:v>
                </c:pt>
                <c:pt idx="73">
                  <c:v>1135.6694967867925</c:v>
                </c:pt>
                <c:pt idx="74">
                  <c:v>1124.5276776297051</c:v>
                </c:pt>
                <c:pt idx="75">
                  <c:v>1113.4474671669786</c:v>
                </c:pt>
                <c:pt idx="76">
                  <c:v>1102.4280144450474</c:v>
                </c:pt>
                <c:pt idx="77">
                  <c:v>1091.4684845742165</c:v>
                </c:pt>
                <c:pt idx="78">
                  <c:v>1080.5680583579069</c:v>
                </c:pt>
                <c:pt idx="79">
                  <c:v>1069.7259319322275</c:v>
                </c:pt>
                <c:pt idx="80">
                  <c:v>1058.9413164155426</c:v>
                </c:pt>
                <c:pt idx="81">
                  <c:v>1048.2134375677185</c:v>
                </c:pt>
                <c:pt idx="82">
                  <c:v>1037.5415354587365</c:v>
                </c:pt>
                <c:pt idx="83">
                  <c:v>1026.9248641463769</c:v>
                </c:pt>
                <c:pt idx="84">
                  <c:v>1021.1538461538457</c:v>
                </c:pt>
                <c:pt idx="85">
                  <c:v>1016.3461538461534</c:v>
                </c:pt>
                <c:pt idx="86">
                  <c:v>1011.5384615384611</c:v>
                </c:pt>
                <c:pt idx="87">
                  <c:v>1006.7307692307688</c:v>
                </c:pt>
                <c:pt idx="88">
                  <c:v>1001.9230769230765</c:v>
                </c:pt>
                <c:pt idx="89">
                  <c:v>997.11538461538419</c:v>
                </c:pt>
                <c:pt idx="90">
                  <c:v>992.30769230769192</c:v>
                </c:pt>
                <c:pt idx="91">
                  <c:v>987.49999999999966</c:v>
                </c:pt>
                <c:pt idx="92">
                  <c:v>982.69230769230728</c:v>
                </c:pt>
                <c:pt idx="93">
                  <c:v>977.88461538461502</c:v>
                </c:pt>
                <c:pt idx="94">
                  <c:v>973.07692307692264</c:v>
                </c:pt>
                <c:pt idx="95">
                  <c:v>968.26923076923026</c:v>
                </c:pt>
                <c:pt idx="96">
                  <c:v>963.461538461538</c:v>
                </c:pt>
                <c:pt idx="97">
                  <c:v>958.65384615384573</c:v>
                </c:pt>
                <c:pt idx="98">
                  <c:v>953.84615384615336</c:v>
                </c:pt>
                <c:pt idx="99">
                  <c:v>949.03846153846109</c:v>
                </c:pt>
                <c:pt idx="100">
                  <c:v>944.23076923076883</c:v>
                </c:pt>
              </c:numCache>
            </c:numRef>
          </c:yVal>
          <c:smooth val="1"/>
          <c:extLst>
            <c:ext xmlns:c16="http://schemas.microsoft.com/office/drawing/2014/chart" uri="{C3380CC4-5D6E-409C-BE32-E72D297353CC}">
              <c16:uniqueId val="{00000008-15F8-43B9-A530-CD145558DCE8}"/>
            </c:ext>
          </c:extLst>
        </c:ser>
        <c:ser>
          <c:idx val="0"/>
          <c:order val="2"/>
          <c:tx>
            <c:v>NI</c:v>
          </c:tx>
          <c:spPr>
            <a:ln w="34925">
              <a:solidFill>
                <a:schemeClr val="tx1"/>
              </a:solidFill>
            </a:ln>
          </c:spPr>
          <c:marker>
            <c:symbol val="none"/>
          </c:marker>
          <c:xVal>
            <c:numRef>
              <c:f>UnlWaterNI!$D$14:$D$114</c:f>
              <c:numCache>
                <c:formatCode>0</c:formatCode>
                <c:ptCount val="101"/>
                <c:pt idx="0">
                  <c:v>520</c:v>
                </c:pt>
                <c:pt idx="1">
                  <c:v>509.97363140350592</c:v>
                </c:pt>
                <c:pt idx="2">
                  <c:v>500.09241534094667</c:v>
                </c:pt>
                <c:pt idx="3">
                  <c:v>490.35325417549376</c:v>
                </c:pt>
                <c:pt idx="4">
                  <c:v>480.75313807531364</c:v>
                </c:pt>
                <c:pt idx="5">
                  <c:v>471.28914192761295</c:v>
                </c:pt>
                <c:pt idx="6">
                  <c:v>461.95842238197019</c:v>
                </c:pt>
                <c:pt idx="7">
                  <c:v>452.75821501667974</c:v>
                </c:pt>
                <c:pt idx="8">
                  <c:v>443.68583162217658</c:v>
                </c:pt>
                <c:pt idx="9">
                  <c:v>434.7386575959373</c:v>
                </c:pt>
                <c:pt idx="10">
                  <c:v>425.9141494435612</c:v>
                </c:pt>
                <c:pt idx="11">
                  <c:v>417.20983238101252</c:v>
                </c:pt>
                <c:pt idx="12">
                  <c:v>408.62329803328282</c:v>
                </c:pt>
                <c:pt idx="13">
                  <c:v>400.15220222497686</c:v>
                </c:pt>
                <c:pt idx="14">
                  <c:v>391.79426285857136</c:v>
                </c:pt>
                <c:pt idx="15">
                  <c:v>383.5472578763127</c:v>
                </c:pt>
                <c:pt idx="16">
                  <c:v>375.4090233019333</c:v>
                </c:pt>
                <c:pt idx="17">
                  <c:v>367.37745135856545</c:v>
                </c:pt>
                <c:pt idx="18">
                  <c:v>359.45048865941345</c:v>
                </c:pt>
                <c:pt idx="19">
                  <c:v>351.62613446792864</c:v>
                </c:pt>
                <c:pt idx="20">
                  <c:v>343.90243902439016</c:v>
                </c:pt>
                <c:pt idx="21">
                  <c:v>336.27750193595398</c:v>
                </c:pt>
                <c:pt idx="22">
                  <c:v>328.74947062738198</c:v>
                </c:pt>
                <c:pt idx="23">
                  <c:v>321.31653884979886</c:v>
                </c:pt>
                <c:pt idx="24">
                  <c:v>313.97694524495671</c:v>
                </c:pt>
                <c:pt idx="25">
                  <c:v>306.72897196261664</c:v>
                </c:pt>
                <c:pt idx="26">
                  <c:v>299.57094332876454</c:v>
                </c:pt>
                <c:pt idx="27">
                  <c:v>292.50122456249687</c:v>
                </c:pt>
                <c:pt idx="28">
                  <c:v>285.51822053951719</c:v>
                </c:pt>
                <c:pt idx="29">
                  <c:v>278.62037460027392</c:v>
                </c:pt>
                <c:pt idx="30">
                  <c:v>271.8061674008809</c:v>
                </c:pt>
                <c:pt idx="31">
                  <c:v>265.07411580503071</c:v>
                </c:pt>
                <c:pt idx="32">
                  <c:v>258.42277181521217</c:v>
                </c:pt>
                <c:pt idx="33">
                  <c:v>251.85072154161386</c:v>
                </c:pt>
                <c:pt idx="34">
                  <c:v>245.35658420717201</c:v>
                </c:pt>
                <c:pt idx="35">
                  <c:v>238.93901118729667</c:v>
                </c:pt>
                <c:pt idx="36">
                  <c:v>232.59668508287274</c:v>
                </c:pt>
                <c:pt idx="37">
                  <c:v>226.32831882519955</c:v>
                </c:pt>
                <c:pt idx="38">
                  <c:v>220.13265481159561</c:v>
                </c:pt>
                <c:pt idx="39">
                  <c:v>214.00846407044824</c:v>
                </c:pt>
                <c:pt idx="40">
                  <c:v>207.95454545454515</c:v>
                </c:pt>
                <c:pt idx="41">
                  <c:v>201.969724861581</c:v>
                </c:pt>
                <c:pt idx="42">
                  <c:v>196.05285448077228</c:v>
                </c:pt>
                <c:pt idx="43">
                  <c:v>190.20281206457301</c:v>
                </c:pt>
                <c:pt idx="44">
                  <c:v>184.41850022451706</c:v>
                </c:pt>
                <c:pt idx="45">
                  <c:v>178.69884575026219</c:v>
                </c:pt>
                <c:pt idx="46">
                  <c:v>173.0427989509511</c:v>
                </c:pt>
                <c:pt idx="47">
                  <c:v>167.44933301804099</c:v>
                </c:pt>
                <c:pt idx="48">
                  <c:v>161.91744340878802</c:v>
                </c:pt>
                <c:pt idx="49">
                  <c:v>156.44614724961596</c:v>
                </c:pt>
                <c:pt idx="50">
                  <c:v>151.0344827586205</c:v>
                </c:pt>
                <c:pt idx="51">
                  <c:v>145.68150868650156</c:v>
                </c:pt>
                <c:pt idx="52">
                  <c:v>140.38630377524117</c:v>
                </c:pt>
                <c:pt idx="53">
                  <c:v>135.14796623387258</c:v>
                </c:pt>
                <c:pt idx="54">
                  <c:v>129.96561323071856</c:v>
                </c:pt>
                <c:pt idx="55">
                  <c:v>124.83838040149691</c:v>
                </c:pt>
                <c:pt idx="56">
                  <c:v>119.76542137271912</c:v>
                </c:pt>
                <c:pt idx="57">
                  <c:v>114.74590729983314</c:v>
                </c:pt>
                <c:pt idx="58">
                  <c:v>109.77902641957948</c:v>
                </c:pt>
                <c:pt idx="59">
                  <c:v>104.86398361605485</c:v>
                </c:pt>
                <c:pt idx="60">
                  <c:v>99.999999999999716</c:v>
                </c:pt>
                <c:pt idx="61">
                  <c:v>95.186312500837786</c:v>
                </c:pt>
                <c:pt idx="62">
                  <c:v>90.422173471025488</c:v>
                </c:pt>
                <c:pt idx="63">
                  <c:v>85.706850302277886</c:v>
                </c:pt>
                <c:pt idx="64">
                  <c:v>81.039625053259186</c:v>
                </c:pt>
                <c:pt idx="65">
                  <c:v>76.419794088342471</c:v>
                </c:pt>
                <c:pt idx="66">
                  <c:v>71.846667727055618</c:v>
                </c:pt>
                <c:pt idx="67">
                  <c:v>67.319569903849683</c:v>
                </c:pt>
                <c:pt idx="68">
                  <c:v>62.837837837837519</c:v>
                </c:pt>
                <c:pt idx="69">
                  <c:v>58.400821712163435</c:v>
                </c:pt>
                <c:pt idx="70">
                  <c:v>54.007884362680414</c:v>
                </c:pt>
                <c:pt idx="71">
                  <c:v>49.658400975622342</c:v>
                </c:pt>
                <c:pt idx="72">
                  <c:v>45.351758793969537</c:v>
                </c:pt>
                <c:pt idx="73">
                  <c:v>41.087356832220799</c:v>
                </c:pt>
                <c:pt idx="74">
                  <c:v>36.864605599290755</c:v>
                </c:pt>
                <c:pt idx="75">
                  <c:v>32.682926829267963</c:v>
                </c:pt>
                <c:pt idx="76">
                  <c:v>28.541753219775423</c:v>
                </c:pt>
                <c:pt idx="77">
                  <c:v>24.440528177683017</c:v>
                </c:pt>
                <c:pt idx="78">
                  <c:v>20.378705571938237</c:v>
                </c:pt>
                <c:pt idx="79">
                  <c:v>16.355749493280086</c:v>
                </c:pt>
                <c:pt idx="80">
                  <c:v>12.371134020618292</c:v>
                </c:pt>
                <c:pt idx="81">
                  <c:v>8.4243429938638066</c:v>
                </c:pt>
                <c:pt idx="82">
                  <c:v>4.5148697930040393</c:v>
                </c:pt>
                <c:pt idx="83">
                  <c:v>0.64221712322588975</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UnlWaterNI!$I$14:$I$114</c:f>
              <c:numCache>
                <c:formatCode>"$"#,##0</c:formatCode>
                <c:ptCount val="101"/>
                <c:pt idx="0">
                  <c:v>295</c:v>
                </c:pt>
                <c:pt idx="1">
                  <c:v>295.61647597166393</c:v>
                </c:pt>
                <c:pt idx="2">
                  <c:v>296.01522314242584</c:v>
                </c:pt>
                <c:pt idx="3">
                  <c:v>296.20088796752862</c:v>
                </c:pt>
                <c:pt idx="4">
                  <c:v>296.17798519472171</c:v>
                </c:pt>
                <c:pt idx="5">
                  <c:v>295.95090249319583</c:v>
                </c:pt>
                <c:pt idx="6">
                  <c:v>295.52390488858282</c:v>
                </c:pt>
                <c:pt idx="7">
                  <c:v>294.90113901344148</c:v>
                </c:pt>
                <c:pt idx="8">
                  <c:v>294.08663718211938</c:v>
                </c:pt>
                <c:pt idx="9">
                  <c:v>293.08432129840139</c:v>
                </c:pt>
                <c:pt idx="10">
                  <c:v>291.89800660388846</c:v>
                </c:pt>
                <c:pt idx="11">
                  <c:v>290.53140527463484</c:v>
                </c:pt>
                <c:pt idx="12">
                  <c:v>288.9881298731525</c:v>
                </c:pt>
                <c:pt idx="13">
                  <c:v>287.2716966625344</c:v>
                </c:pt>
                <c:pt idx="14">
                  <c:v>285.3855287890658</c:v>
                </c:pt>
                <c:pt idx="15">
                  <c:v>283.33295933937688</c:v>
                </c:pt>
                <c:pt idx="16">
                  <c:v>281.1172342778691</c:v>
                </c:pt>
                <c:pt idx="17">
                  <c:v>278.7415152698436</c:v>
                </c:pt>
                <c:pt idx="18">
                  <c:v>276.20888239549481</c:v>
                </c:pt>
                <c:pt idx="19">
                  <c:v>273.52233675964544</c:v>
                </c:pt>
                <c:pt idx="20">
                  <c:v>270.68480300187593</c:v>
                </c:pt>
                <c:pt idx="21">
                  <c:v>267.69913171145345</c:v>
                </c:pt>
                <c:pt idx="22">
                  <c:v>264.56810175123451</c:v>
                </c:pt>
                <c:pt idx="23">
                  <c:v>261.29442249453245</c:v>
                </c:pt>
                <c:pt idx="24">
                  <c:v>257.88073597871812</c:v>
                </c:pt>
                <c:pt idx="25">
                  <c:v>254.32961897915152</c:v>
                </c:pt>
                <c:pt idx="26">
                  <c:v>250.64358500685262</c:v>
                </c:pt>
                <c:pt idx="27">
                  <c:v>246.82508623317744</c:v>
                </c:pt>
                <c:pt idx="28">
                  <c:v>242.87651534456995</c:v>
                </c:pt>
                <c:pt idx="29">
                  <c:v>238.80020733035803</c:v>
                </c:pt>
                <c:pt idx="30">
                  <c:v>234.59844120637013</c:v>
                </c:pt>
                <c:pt idx="31">
                  <c:v>230.2734416770686</c:v>
                </c:pt>
                <c:pt idx="32">
                  <c:v>225.82738073871951</c:v>
                </c:pt>
                <c:pt idx="33">
                  <c:v>221.26237922604014</c:v>
                </c:pt>
                <c:pt idx="34">
                  <c:v>216.58050830462616</c:v>
                </c:pt>
                <c:pt idx="35">
                  <c:v>211.7837909113623</c:v>
                </c:pt>
                <c:pt idx="36">
                  <c:v>206.87420314492124</c:v>
                </c:pt>
                <c:pt idx="37">
                  <c:v>201.85367560835357</c:v>
                </c:pt>
                <c:pt idx="38">
                  <c:v>196.72409470568255</c:v>
                </c:pt>
                <c:pt idx="39">
                  <c:v>191.48730389432694</c:v>
                </c:pt>
                <c:pt idx="40">
                  <c:v>186.14510489510462</c:v>
                </c:pt>
                <c:pt idx="41">
                  <c:v>180.69925886147416</c:v>
                </c:pt>
                <c:pt idx="42">
                  <c:v>175.15148750961021</c:v>
                </c:pt>
                <c:pt idx="43">
                  <c:v>169.50347421083234</c:v>
                </c:pt>
                <c:pt idx="44">
                  <c:v>163.75686504783903</c:v>
                </c:pt>
                <c:pt idx="45">
                  <c:v>157.91326983614431</c:v>
                </c:pt>
                <c:pt idx="46">
                  <c:v>151.97426311203412</c:v>
                </c:pt>
                <c:pt idx="47">
                  <c:v>145.94138508832248</c:v>
                </c:pt>
                <c:pt idx="48">
                  <c:v>139.8161425791252</c:v>
                </c:pt>
                <c:pt idx="49">
                  <c:v>133.60000989480636</c:v>
                </c:pt>
                <c:pt idx="50">
                  <c:v>127.2944297082222</c:v>
                </c:pt>
                <c:pt idx="51">
                  <c:v>120.90081389332363</c:v>
                </c:pt>
                <c:pt idx="52">
                  <c:v>114.42054433713747</c:v>
                </c:pt>
                <c:pt idx="53">
                  <c:v>107.85497372611349</c:v>
                </c:pt>
                <c:pt idx="54">
                  <c:v>101.20542630776754</c:v>
                </c:pt>
                <c:pt idx="55">
                  <c:v>94.473198628523278</c:v>
                </c:pt>
                <c:pt idx="56">
                  <c:v>87.659560248612934</c:v>
                </c:pt>
                <c:pt idx="57">
                  <c:v>80.765754434864675</c:v>
                </c:pt>
                <c:pt idx="58">
                  <c:v>73.79299883216845</c:v>
                </c:pt>
                <c:pt idx="59">
                  <c:v>66.742486114378607</c:v>
                </c:pt>
                <c:pt idx="60">
                  <c:v>59.615384615384073</c:v>
                </c:pt>
                <c:pt idx="61">
                  <c:v>52.412838941050268</c:v>
                </c:pt>
                <c:pt idx="62">
                  <c:v>45.135970562691909</c:v>
                </c:pt>
                <c:pt idx="63">
                  <c:v>37.785878392736322</c:v>
                </c:pt>
                <c:pt idx="64">
                  <c:v>30.36363934318706</c:v>
                </c:pt>
                <c:pt idx="65">
                  <c:v>22.870308867485164</c:v>
                </c:pt>
                <c:pt idx="66">
                  <c:v>15.306921486338751</c:v>
                </c:pt>
                <c:pt idx="67">
                  <c:v>7.674491298070734</c:v>
                </c:pt>
                <c:pt idx="68">
                  <c:v>-2.598752598782994E-2</c:v>
                </c:pt>
                <c:pt idx="69">
                  <c:v>-7.7935402605537547</c:v>
                </c:pt>
                <c:pt idx="70">
                  <c:v>-15.627211159406215</c:v>
                </c:pt>
                <c:pt idx="71">
                  <c:v>-23.526063001896091</c:v>
                </c:pt>
                <c:pt idx="72">
                  <c:v>-31.489176652493597</c:v>
                </c:pt>
                <c:pt idx="73">
                  <c:v>-39.515650632947654</c:v>
                </c:pt>
                <c:pt idx="74">
                  <c:v>-47.604600706629299</c:v>
                </c:pt>
                <c:pt idx="75">
                  <c:v>-55.755159474672382</c:v>
                </c:pt>
                <c:pt idx="76">
                  <c:v>-63.966475983510463</c:v>
                </c:pt>
                <c:pt idx="77">
                  <c:v>-72.237715343448599</c:v>
                </c:pt>
                <c:pt idx="78">
                  <c:v>-80.568058357908512</c:v>
                </c:pt>
                <c:pt idx="79">
                  <c:v>-88.956701162998229</c:v>
                </c:pt>
                <c:pt idx="80">
                  <c:v>-97.402854877082518</c:v>
                </c:pt>
                <c:pt idx="81">
                  <c:v>-105.90574526002752</c:v>
                </c:pt>
                <c:pt idx="82">
                  <c:v>-114.46461238181496</c:v>
                </c:pt>
                <c:pt idx="83">
                  <c:v>-123.07871030022454</c:v>
                </c:pt>
                <c:pt idx="84">
                  <c:v>-136.53846153846257</c:v>
                </c:pt>
                <c:pt idx="85">
                  <c:v>-150.9615384615397</c:v>
                </c:pt>
                <c:pt idx="86">
                  <c:v>-165.38461538461661</c:v>
                </c:pt>
                <c:pt idx="87">
                  <c:v>-179.80769230769351</c:v>
                </c:pt>
                <c:pt idx="88">
                  <c:v>-194.23076923077053</c:v>
                </c:pt>
                <c:pt idx="89">
                  <c:v>-208.65384615384744</c:v>
                </c:pt>
                <c:pt idx="90">
                  <c:v>-223.07692307692423</c:v>
                </c:pt>
                <c:pt idx="91">
                  <c:v>-237.50000000000114</c:v>
                </c:pt>
                <c:pt idx="92">
                  <c:v>-251.92307692307816</c:v>
                </c:pt>
                <c:pt idx="93">
                  <c:v>-266.34615384615506</c:v>
                </c:pt>
                <c:pt idx="94">
                  <c:v>-280.76923076923197</c:v>
                </c:pt>
                <c:pt idx="95">
                  <c:v>-295.19230769230899</c:v>
                </c:pt>
                <c:pt idx="96">
                  <c:v>-309.61538461538589</c:v>
                </c:pt>
                <c:pt idx="97">
                  <c:v>-324.0384615384628</c:v>
                </c:pt>
                <c:pt idx="98">
                  <c:v>-338.46153846153982</c:v>
                </c:pt>
                <c:pt idx="99">
                  <c:v>-352.88461538461684</c:v>
                </c:pt>
                <c:pt idx="100">
                  <c:v>-367.30769230769363</c:v>
                </c:pt>
              </c:numCache>
            </c:numRef>
          </c:yVal>
          <c:smooth val="1"/>
          <c:extLst>
            <c:ext xmlns:c16="http://schemas.microsoft.com/office/drawing/2014/chart" uri="{C3380CC4-5D6E-409C-BE32-E72D297353CC}">
              <c16:uniqueId val="{00000000-15F8-43B9-A530-CD145558DCE8}"/>
            </c:ext>
          </c:extLst>
        </c:ser>
        <c:ser>
          <c:idx val="3"/>
          <c:order val="3"/>
          <c:tx>
            <c:v>NI max</c:v>
          </c:tx>
          <c:spPr>
            <a:ln>
              <a:noFill/>
            </a:ln>
          </c:spPr>
          <c:marker>
            <c:symbol val="star"/>
            <c:size val="9"/>
            <c:spPr>
              <a:noFill/>
              <a:ln>
                <a:solidFill>
                  <a:schemeClr val="tx1"/>
                </a:solidFill>
              </a:ln>
            </c:spPr>
          </c:marker>
          <c:xVal>
            <c:numRef>
              <c:f>UnlWaterNI!$L$32</c:f>
              <c:numCache>
                <c:formatCode>#,##0_);\(#,##0\)</c:formatCode>
                <c:ptCount val="1"/>
                <c:pt idx="0">
                  <c:v>490.35325417549376</c:v>
                </c:pt>
              </c:numCache>
            </c:numRef>
          </c:xVal>
          <c:yVal>
            <c:numRef>
              <c:f>UnlWaterNI!$L$31</c:f>
              <c:numCache>
                <c:formatCode>"$"#,##0.0</c:formatCode>
                <c:ptCount val="1"/>
                <c:pt idx="0">
                  <c:v>296.20088796752862</c:v>
                </c:pt>
              </c:numCache>
            </c:numRef>
          </c:yVal>
          <c:smooth val="1"/>
          <c:extLst>
            <c:ext xmlns:c16="http://schemas.microsoft.com/office/drawing/2014/chart" uri="{C3380CC4-5D6E-409C-BE32-E72D297353CC}">
              <c16:uniqueId val="{00000009-15F8-43B9-A530-CD145558DCE8}"/>
            </c:ext>
          </c:extLst>
        </c:ser>
        <c:dLbls>
          <c:showLegendKey val="0"/>
          <c:showVal val="0"/>
          <c:showCatName val="0"/>
          <c:showSerName val="0"/>
          <c:showPercent val="0"/>
          <c:showBubbleSize val="0"/>
        </c:dLbls>
        <c:axId val="54024832"/>
        <c:axId val="54043776"/>
      </c:scatterChart>
      <c:valAx>
        <c:axId val="54024832"/>
        <c:scaling>
          <c:orientation val="minMax"/>
          <c:min val="0"/>
        </c:scaling>
        <c:delete val="0"/>
        <c:axPos val="b"/>
        <c:title>
          <c:tx>
            <c:rich>
              <a:bodyPr/>
              <a:lstStyle/>
              <a:p>
                <a:pPr>
                  <a:defRPr sz="1400"/>
                </a:pPr>
                <a:r>
                  <a:rPr lang="en-US" sz="1400"/>
                  <a:t>Irrigation,</a:t>
                </a:r>
                <a:r>
                  <a:rPr lang="en-US" sz="1400" baseline="0"/>
                  <a:t> I (mm)</a:t>
                </a:r>
                <a:endParaRPr lang="en-US" sz="1400" i="1"/>
              </a:p>
            </c:rich>
          </c:tx>
          <c:layout>
            <c:manualLayout>
              <c:xMode val="edge"/>
              <c:yMode val="edge"/>
              <c:x val="0.37241809886680383"/>
              <c:y val="0.92363883086042819"/>
            </c:manualLayout>
          </c:layout>
          <c:overlay val="0"/>
        </c:title>
        <c:numFmt formatCode="0" sourceLinked="0"/>
        <c:majorTickMark val="out"/>
        <c:minorTickMark val="out"/>
        <c:tickLblPos val="nextTo"/>
        <c:txPr>
          <a:bodyPr/>
          <a:lstStyle/>
          <a:p>
            <a:pPr>
              <a:defRPr sz="1100" b="1"/>
            </a:pPr>
            <a:endParaRPr lang="en-US"/>
          </a:p>
        </c:txPr>
        <c:crossAx val="54043776"/>
        <c:crossesAt val="-200"/>
        <c:crossBetween val="midCat"/>
        <c:majorUnit val="100"/>
        <c:minorUnit val="50"/>
      </c:valAx>
      <c:valAx>
        <c:axId val="54043776"/>
        <c:scaling>
          <c:orientation val="minMax"/>
          <c:min val="0"/>
        </c:scaling>
        <c:delete val="0"/>
        <c:axPos val="l"/>
        <c:majorGridlines/>
        <c:title>
          <c:tx>
            <c:rich>
              <a:bodyPr rot="-5400000" vert="horz"/>
              <a:lstStyle/>
              <a:p>
                <a:pPr>
                  <a:defRPr sz="1400"/>
                </a:pPr>
                <a:r>
                  <a:rPr lang="en-US" sz="1400"/>
                  <a:t>Net Income ($/ha)</a:t>
                </a:r>
              </a:p>
            </c:rich>
          </c:tx>
          <c:overlay val="0"/>
        </c:title>
        <c:numFmt formatCode="&quot;$&quot;#,##0" sourceLinked="1"/>
        <c:majorTickMark val="out"/>
        <c:minorTickMark val="none"/>
        <c:tickLblPos val="nextTo"/>
        <c:txPr>
          <a:bodyPr/>
          <a:lstStyle/>
          <a:p>
            <a:pPr>
              <a:defRPr sz="1050" b="1"/>
            </a:pPr>
            <a:endParaRPr lang="en-US"/>
          </a:p>
        </c:txPr>
        <c:crossAx val="54024832"/>
        <c:crossesAt val="-200"/>
        <c:crossBetween val="midCat"/>
      </c:valAx>
      <c:spPr>
        <a:ln>
          <a:solidFill>
            <a:schemeClr val="tx1"/>
          </a:solidFill>
        </a:ln>
      </c:spPr>
    </c:plotArea>
    <c:legend>
      <c:legendPos val="r"/>
      <c:layout>
        <c:manualLayout>
          <c:xMode val="edge"/>
          <c:yMode val="edge"/>
          <c:x val="0.18740578513573444"/>
          <c:y val="6.5885220054763632E-2"/>
          <c:w val="0.25546975002533034"/>
          <c:h val="0.23632468429169706"/>
        </c:manualLayout>
      </c:layout>
      <c:overlay val="0"/>
      <c:spPr>
        <a:solidFill>
          <a:schemeClr val="bg1"/>
        </a:solidFill>
        <a:ln>
          <a:solidFill>
            <a:schemeClr val="tx1"/>
          </a:solidFill>
        </a:ln>
      </c:spPr>
      <c:txPr>
        <a:bodyPr/>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51965540311025"/>
          <c:y val="5.1400554097404488E-2"/>
          <c:w val="0.72844204129967494"/>
          <c:h val="0.80739798253695116"/>
        </c:manualLayout>
      </c:layout>
      <c:scatterChart>
        <c:scatterStyle val="smoothMarker"/>
        <c:varyColors val="0"/>
        <c:ser>
          <c:idx val="0"/>
          <c:order val="0"/>
          <c:tx>
            <c:strRef>
              <c:f>WatLimNI!$N$22</c:f>
              <c:strCache>
                <c:ptCount val="1"/>
                <c:pt idx="0">
                  <c:v>NI Total</c:v>
                </c:pt>
              </c:strCache>
            </c:strRef>
          </c:tx>
          <c:spPr>
            <a:ln w="34925">
              <a:solidFill>
                <a:schemeClr val="tx1"/>
              </a:solidFill>
            </a:ln>
          </c:spPr>
          <c:marker>
            <c:symbol val="none"/>
          </c:marker>
          <c:xVal>
            <c:numRef>
              <c:f>WatLimNI!$A$25:$A$125</c:f>
              <c:numCache>
                <c:formatCode>General</c:formatCode>
                <c:ptCount val="101"/>
                <c:pt idx="0">
                  <c:v>1</c:v>
                </c:pt>
                <c:pt idx="1">
                  <c:v>0.995</c:v>
                </c:pt>
                <c:pt idx="2">
                  <c:v>0.99</c:v>
                </c:pt>
                <c:pt idx="3">
                  <c:v>0.98499999999999999</c:v>
                </c:pt>
                <c:pt idx="4">
                  <c:v>0.98</c:v>
                </c:pt>
                <c:pt idx="5">
                  <c:v>0.97499999999999998</c:v>
                </c:pt>
                <c:pt idx="6">
                  <c:v>0.97</c:v>
                </c:pt>
                <c:pt idx="7">
                  <c:v>0.96499999999999997</c:v>
                </c:pt>
                <c:pt idx="8">
                  <c:v>0.96</c:v>
                </c:pt>
                <c:pt idx="9">
                  <c:v>0.95499999999999996</c:v>
                </c:pt>
                <c:pt idx="10">
                  <c:v>0.95</c:v>
                </c:pt>
                <c:pt idx="11">
                  <c:v>0.94499999999999995</c:v>
                </c:pt>
                <c:pt idx="12">
                  <c:v>0.94</c:v>
                </c:pt>
                <c:pt idx="13">
                  <c:v>0.93499999999999994</c:v>
                </c:pt>
                <c:pt idx="14">
                  <c:v>0.92999999999999994</c:v>
                </c:pt>
                <c:pt idx="15">
                  <c:v>0.92499999999999993</c:v>
                </c:pt>
                <c:pt idx="16">
                  <c:v>0.91999999999999993</c:v>
                </c:pt>
                <c:pt idx="17">
                  <c:v>0.91499999999999992</c:v>
                </c:pt>
                <c:pt idx="18">
                  <c:v>0.90999999999999992</c:v>
                </c:pt>
                <c:pt idx="19">
                  <c:v>0.90499999999999992</c:v>
                </c:pt>
                <c:pt idx="20">
                  <c:v>0.89999999999999991</c:v>
                </c:pt>
                <c:pt idx="21">
                  <c:v>0.89499999999999991</c:v>
                </c:pt>
                <c:pt idx="22">
                  <c:v>0.8899999999999999</c:v>
                </c:pt>
                <c:pt idx="23">
                  <c:v>0.8849999999999999</c:v>
                </c:pt>
                <c:pt idx="24">
                  <c:v>0.87999999999999989</c:v>
                </c:pt>
                <c:pt idx="25">
                  <c:v>0.87499999999999989</c:v>
                </c:pt>
                <c:pt idx="26">
                  <c:v>0.86999999999999988</c:v>
                </c:pt>
                <c:pt idx="27">
                  <c:v>0.86499999999999988</c:v>
                </c:pt>
                <c:pt idx="28">
                  <c:v>0.85999999999999988</c:v>
                </c:pt>
                <c:pt idx="29">
                  <c:v>0.85499999999999987</c:v>
                </c:pt>
                <c:pt idx="30">
                  <c:v>0.84999999999999987</c:v>
                </c:pt>
                <c:pt idx="31">
                  <c:v>0.84499999999999986</c:v>
                </c:pt>
                <c:pt idx="32">
                  <c:v>0.83999999999999986</c:v>
                </c:pt>
                <c:pt idx="33">
                  <c:v>0.83499999999999985</c:v>
                </c:pt>
                <c:pt idx="34">
                  <c:v>0.82999999999999985</c:v>
                </c:pt>
                <c:pt idx="35">
                  <c:v>0.82499999999999984</c:v>
                </c:pt>
                <c:pt idx="36">
                  <c:v>0.81999999999999984</c:v>
                </c:pt>
                <c:pt idx="37">
                  <c:v>0.81499999999999984</c:v>
                </c:pt>
                <c:pt idx="38">
                  <c:v>0.80999999999999983</c:v>
                </c:pt>
                <c:pt idx="39">
                  <c:v>0.80499999999999983</c:v>
                </c:pt>
                <c:pt idx="40">
                  <c:v>0.79999999999999982</c:v>
                </c:pt>
                <c:pt idx="41">
                  <c:v>0.79499999999999982</c:v>
                </c:pt>
                <c:pt idx="42">
                  <c:v>0.78999999999999981</c:v>
                </c:pt>
                <c:pt idx="43">
                  <c:v>0.78499999999999981</c:v>
                </c:pt>
                <c:pt idx="44">
                  <c:v>0.7799999999999998</c:v>
                </c:pt>
                <c:pt idx="45">
                  <c:v>0.7749999999999998</c:v>
                </c:pt>
                <c:pt idx="46">
                  <c:v>0.7699999999999998</c:v>
                </c:pt>
                <c:pt idx="47">
                  <c:v>0.76499999999999979</c:v>
                </c:pt>
                <c:pt idx="48">
                  <c:v>0.75999999999999979</c:v>
                </c:pt>
                <c:pt idx="49">
                  <c:v>0.75499999999999978</c:v>
                </c:pt>
                <c:pt idx="50">
                  <c:v>0.74999999999999978</c:v>
                </c:pt>
                <c:pt idx="51">
                  <c:v>0.74499999999999977</c:v>
                </c:pt>
                <c:pt idx="52">
                  <c:v>0.73999999999999977</c:v>
                </c:pt>
                <c:pt idx="53">
                  <c:v>0.73499999999999976</c:v>
                </c:pt>
                <c:pt idx="54">
                  <c:v>0.72999999999999976</c:v>
                </c:pt>
                <c:pt idx="55">
                  <c:v>0.72499999999999976</c:v>
                </c:pt>
                <c:pt idx="56">
                  <c:v>0.71999999999999975</c:v>
                </c:pt>
                <c:pt idx="57">
                  <c:v>0.71499999999999975</c:v>
                </c:pt>
                <c:pt idx="58">
                  <c:v>0.70999999999999974</c:v>
                </c:pt>
                <c:pt idx="59">
                  <c:v>0.70499999999999974</c:v>
                </c:pt>
                <c:pt idx="60">
                  <c:v>0.69999999999999973</c:v>
                </c:pt>
                <c:pt idx="61">
                  <c:v>0.69499999999999973</c:v>
                </c:pt>
                <c:pt idx="62">
                  <c:v>0.68999999999999972</c:v>
                </c:pt>
                <c:pt idx="63">
                  <c:v>0.68499999999999972</c:v>
                </c:pt>
                <c:pt idx="64">
                  <c:v>0.67999999999999972</c:v>
                </c:pt>
                <c:pt idx="65">
                  <c:v>0.67499999999999971</c:v>
                </c:pt>
                <c:pt idx="66">
                  <c:v>0.66999999999999971</c:v>
                </c:pt>
                <c:pt idx="67">
                  <c:v>0.6649999999999997</c:v>
                </c:pt>
                <c:pt idx="68">
                  <c:v>0.6599999999999997</c:v>
                </c:pt>
                <c:pt idx="69">
                  <c:v>0.65499999999999969</c:v>
                </c:pt>
                <c:pt idx="70">
                  <c:v>0.64999999999999969</c:v>
                </c:pt>
                <c:pt idx="71">
                  <c:v>0.64499999999999968</c:v>
                </c:pt>
                <c:pt idx="72">
                  <c:v>0.63999999999999968</c:v>
                </c:pt>
                <c:pt idx="73">
                  <c:v>0.63499999999999968</c:v>
                </c:pt>
                <c:pt idx="74">
                  <c:v>0.62999999999999967</c:v>
                </c:pt>
                <c:pt idx="75">
                  <c:v>0.62499999999999967</c:v>
                </c:pt>
                <c:pt idx="76">
                  <c:v>0.61999999999999966</c:v>
                </c:pt>
                <c:pt idx="77">
                  <c:v>0.61499999999999966</c:v>
                </c:pt>
                <c:pt idx="78">
                  <c:v>0.60999999999999965</c:v>
                </c:pt>
                <c:pt idx="79">
                  <c:v>0.60499999999999965</c:v>
                </c:pt>
                <c:pt idx="80">
                  <c:v>0.59999999999999964</c:v>
                </c:pt>
                <c:pt idx="81">
                  <c:v>0.59499999999999964</c:v>
                </c:pt>
                <c:pt idx="82">
                  <c:v>0.58999999999999964</c:v>
                </c:pt>
                <c:pt idx="83">
                  <c:v>0.58499999999999963</c:v>
                </c:pt>
                <c:pt idx="84">
                  <c:v>0.57999999999999963</c:v>
                </c:pt>
                <c:pt idx="85">
                  <c:v>0.57499999999999962</c:v>
                </c:pt>
                <c:pt idx="86">
                  <c:v>0.56999999999999962</c:v>
                </c:pt>
                <c:pt idx="87">
                  <c:v>0.56499999999999961</c:v>
                </c:pt>
                <c:pt idx="88">
                  <c:v>0.55999999999999961</c:v>
                </c:pt>
                <c:pt idx="89">
                  <c:v>0.5549999999999996</c:v>
                </c:pt>
                <c:pt idx="90">
                  <c:v>0.5499999999999996</c:v>
                </c:pt>
                <c:pt idx="91">
                  <c:v>0.5449999999999996</c:v>
                </c:pt>
                <c:pt idx="92">
                  <c:v>0.53999999999999959</c:v>
                </c:pt>
                <c:pt idx="93">
                  <c:v>0.53499999999999959</c:v>
                </c:pt>
                <c:pt idx="94">
                  <c:v>0.52999999999999958</c:v>
                </c:pt>
                <c:pt idx="95">
                  <c:v>0.52499999999999958</c:v>
                </c:pt>
                <c:pt idx="96">
                  <c:v>0.51999999999999957</c:v>
                </c:pt>
                <c:pt idx="97">
                  <c:v>0.51499999999999957</c:v>
                </c:pt>
                <c:pt idx="98">
                  <c:v>0.50999999999999956</c:v>
                </c:pt>
                <c:pt idx="99">
                  <c:v>0.50499999999999956</c:v>
                </c:pt>
                <c:pt idx="100">
                  <c:v>0.49999999999999956</c:v>
                </c:pt>
              </c:numCache>
            </c:numRef>
          </c:xVal>
          <c:yVal>
            <c:numRef>
              <c:f>WatLimNI!$N$25:$N$125</c:f>
              <c:numCache>
                <c:formatCode>"$"#,##0</c:formatCode>
                <c:ptCount val="101"/>
                <c:pt idx="0">
                  <c:v>616.72020604813054</c:v>
                </c:pt>
                <c:pt idx="1">
                  <c:v>617.30483782577255</c:v>
                </c:pt>
                <c:pt idx="2">
                  <c:v>617.77868256480372</c:v>
                </c:pt>
                <c:pt idx="3">
                  <c:v>618.13754500999153</c:v>
                </c:pt>
                <c:pt idx="4">
                  <c:v>618.37701745101458</c:v>
                </c:pt>
                <c:pt idx="5">
                  <c:v>618.49246612664217</c:v>
                </c:pt>
                <c:pt idx="6">
                  <c:v>618.47901657169962</c:v>
                </c:pt>
                <c:pt idx="7">
                  <c:v>618.33153780965529</c:v>
                </c:pt>
                <c:pt idx="8">
                  <c:v>618.04462528332988</c:v>
                </c:pt>
                <c:pt idx="9">
                  <c:v>617.61258240462223</c:v>
                </c:pt>
                <c:pt idx="10">
                  <c:v>617.0294005911303</c:v>
                </c:pt>
                <c:pt idx="11">
                  <c:v>616.28873764290188</c:v>
                </c:pt>
                <c:pt idx="12">
                  <c:v>615.38389429603774</c:v>
                </c:pt>
                <c:pt idx="13">
                  <c:v>614.30778877127796</c:v>
                </c:pt>
                <c:pt idx="14">
                  <c:v>613.05292911464062</c:v>
                </c:pt>
                <c:pt idx="15">
                  <c:v>611.61138310338038</c:v>
                </c:pt>
                <c:pt idx="16">
                  <c:v>609.9747454635334</c:v>
                </c:pt>
                <c:pt idx="17">
                  <c:v>608.13410211462246</c:v>
                </c:pt>
                <c:pt idx="18">
                  <c:v>606.07999112219227</c:v>
                </c:pt>
                <c:pt idx="19">
                  <c:v>603.80235999902391</c:v>
                </c:pt>
                <c:pt idx="20">
                  <c:v>601.29051895039527</c:v>
                </c:pt>
                <c:pt idx="21">
                  <c:v>598.53308960668926</c:v>
                </c:pt>
                <c:pt idx="22">
                  <c:v>595.51794872690107</c:v>
                </c:pt>
                <c:pt idx="23">
                  <c:v>592.23216628795228</c:v>
                </c:pt>
                <c:pt idx="24">
                  <c:v>588.66193729558995</c:v>
                </c:pt>
                <c:pt idx="25">
                  <c:v>584.79250656129693</c:v>
                </c:pt>
                <c:pt idx="26">
                  <c:v>580.17162266849368</c:v>
                </c:pt>
                <c:pt idx="27">
                  <c:v>568.57643325192385</c:v>
                </c:pt>
                <c:pt idx="28">
                  <c:v>556.94655793803895</c:v>
                </c:pt>
                <c:pt idx="29">
                  <c:v>545.28261939065942</c:v>
                </c:pt>
                <c:pt idx="30">
                  <c:v>533.58522534733902</c:v>
                </c:pt>
                <c:pt idx="31">
                  <c:v>521.85496906260255</c:v>
                </c:pt>
                <c:pt idx="32">
                  <c:v>510.09242973545292</c:v>
                </c:pt>
                <c:pt idx="33">
                  <c:v>498.29817292181542</c:v>
                </c:pt>
                <c:pt idx="34">
                  <c:v>486.47275093251528</c:v>
                </c:pt>
                <c:pt idx="35">
                  <c:v>474.61670321738848</c:v>
                </c:pt>
                <c:pt idx="36">
                  <c:v>462.73055673608133</c:v>
                </c:pt>
                <c:pt idx="37">
                  <c:v>450.81482631607309</c:v>
                </c:pt>
                <c:pt idx="38">
                  <c:v>438.87001499843791</c:v>
                </c:pt>
                <c:pt idx="39">
                  <c:v>426.89661437182008</c:v>
                </c:pt>
                <c:pt idx="40">
                  <c:v>414.8951048951044</c:v>
                </c:pt>
                <c:pt idx="41">
                  <c:v>402.86595620921298</c:v>
                </c:pt>
                <c:pt idx="42">
                  <c:v>390.80962743845976</c:v>
                </c:pt>
                <c:pt idx="43">
                  <c:v>378.72656748186273</c:v>
                </c:pt>
                <c:pt idx="44">
                  <c:v>366.61721529480792</c:v>
                </c:pt>
                <c:pt idx="45">
                  <c:v>354.48200016143278</c:v>
                </c:pt>
                <c:pt idx="46">
                  <c:v>342.32134195808021</c:v>
                </c:pt>
                <c:pt idx="47">
                  <c:v>330.1356514081674</c:v>
                </c:pt>
                <c:pt idx="48">
                  <c:v>317.92533032879192</c:v>
                </c:pt>
                <c:pt idx="49">
                  <c:v>305.69077186938398</c:v>
                </c:pt>
                <c:pt idx="50">
                  <c:v>293.43236074270476</c:v>
                </c:pt>
                <c:pt idx="51">
                  <c:v>281.15047344847562</c:v>
                </c:pt>
                <c:pt idx="52">
                  <c:v>268.84547848990292</c:v>
                </c:pt>
                <c:pt idx="53">
                  <c:v>256.51773658337333</c:v>
                </c:pt>
                <c:pt idx="54">
                  <c:v>244.16760086155796</c:v>
                </c:pt>
                <c:pt idx="55">
                  <c:v>231.79541707016983</c:v>
                </c:pt>
                <c:pt idx="56">
                  <c:v>219.40152375860407</c:v>
                </c:pt>
                <c:pt idx="57">
                  <c:v>206.98625246468112</c:v>
                </c:pt>
                <c:pt idx="58">
                  <c:v>194.5499278937059</c:v>
                </c:pt>
                <c:pt idx="59">
                  <c:v>182.09286809203877</c:v>
                </c:pt>
                <c:pt idx="60">
                  <c:v>169.61538461538396</c:v>
                </c:pt>
                <c:pt idx="61">
                  <c:v>157.1177826919718</c:v>
                </c:pt>
                <c:pt idx="62">
                  <c:v>144.60036138081989</c:v>
                </c:pt>
                <c:pt idx="63">
                  <c:v>132.06341372524207</c:v>
                </c:pt>
                <c:pt idx="64">
                  <c:v>119.50722690177213</c:v>
                </c:pt>
                <c:pt idx="65">
                  <c:v>106.93208236466194</c:v>
                </c:pt>
                <c:pt idx="66">
                  <c:v>94.338255986099966</c:v>
                </c:pt>
                <c:pt idx="67">
                  <c:v>81.726018192305446</c:v>
                </c:pt>
                <c:pt idx="68">
                  <c:v>69.095634095633386</c:v>
                </c:pt>
                <c:pt idx="69">
                  <c:v>56.44736362282606</c:v>
                </c:pt>
                <c:pt idx="70">
                  <c:v>43.781461639542158</c:v>
                </c:pt>
                <c:pt idx="71">
                  <c:v>31.098178071288658</c:v>
                </c:pt>
                <c:pt idx="72">
                  <c:v>18.397758020872743</c:v>
                </c:pt>
                <c:pt idx="73">
                  <c:v>5.6804418824953018</c:v>
                </c:pt>
                <c:pt idx="74">
                  <c:v>-7.0535345474095266</c:v>
                </c:pt>
                <c:pt idx="75">
                  <c:v>-19.803939962477443</c:v>
                </c:pt>
                <c:pt idx="76">
                  <c:v>-32.570547441757526</c:v>
                </c:pt>
                <c:pt idx="77">
                  <c:v>-45.353134347997184</c:v>
                </c:pt>
                <c:pt idx="78">
                  <c:v>-58.151482228776445</c:v>
                </c:pt>
                <c:pt idx="79">
                  <c:v>-70.965376720390054</c:v>
                </c:pt>
                <c:pt idx="80">
                  <c:v>-83.794607454402239</c:v>
                </c:pt>
                <c:pt idx="81">
                  <c:v>-96.638967966777273</c:v>
                </c:pt>
                <c:pt idx="82">
                  <c:v>-109.49825560951047</c:v>
                </c:pt>
                <c:pt idx="83">
                  <c:v>-122.37227146467615</c:v>
                </c:pt>
                <c:pt idx="84">
                  <c:v>-136.53846153846257</c:v>
                </c:pt>
                <c:pt idx="85">
                  <c:v>-150.9615384615397</c:v>
                </c:pt>
                <c:pt idx="86">
                  <c:v>-165.38461538461661</c:v>
                </c:pt>
                <c:pt idx="87">
                  <c:v>-179.80769230769351</c:v>
                </c:pt>
                <c:pt idx="88">
                  <c:v>-194.23076923077053</c:v>
                </c:pt>
                <c:pt idx="89">
                  <c:v>-208.65384615384744</c:v>
                </c:pt>
                <c:pt idx="90">
                  <c:v>-223.07692307692423</c:v>
                </c:pt>
                <c:pt idx="91">
                  <c:v>-237.50000000000114</c:v>
                </c:pt>
                <c:pt idx="92">
                  <c:v>-251.92307692307816</c:v>
                </c:pt>
                <c:pt idx="93">
                  <c:v>-266.34615384615506</c:v>
                </c:pt>
                <c:pt idx="94">
                  <c:v>-280.76923076923197</c:v>
                </c:pt>
                <c:pt idx="95">
                  <c:v>-295.19230769230904</c:v>
                </c:pt>
                <c:pt idx="96">
                  <c:v>-309.61538461538589</c:v>
                </c:pt>
                <c:pt idx="97">
                  <c:v>-324.0384615384628</c:v>
                </c:pt>
                <c:pt idx="98">
                  <c:v>-338.46153846153982</c:v>
                </c:pt>
                <c:pt idx="99">
                  <c:v>-352.88461538461684</c:v>
                </c:pt>
                <c:pt idx="100">
                  <c:v>-367.30769230769363</c:v>
                </c:pt>
              </c:numCache>
            </c:numRef>
          </c:yVal>
          <c:smooth val="1"/>
          <c:extLst>
            <c:ext xmlns:c16="http://schemas.microsoft.com/office/drawing/2014/chart" uri="{C3380CC4-5D6E-409C-BE32-E72D297353CC}">
              <c16:uniqueId val="{00000000-53F4-4274-BBC9-42ACFEC67C29}"/>
            </c:ext>
          </c:extLst>
        </c:ser>
        <c:ser>
          <c:idx val="1"/>
          <c:order val="1"/>
          <c:tx>
            <c:v>NI max</c:v>
          </c:tx>
          <c:spPr>
            <a:ln>
              <a:noFill/>
            </a:ln>
          </c:spPr>
          <c:marker>
            <c:symbol val="star"/>
            <c:size val="9"/>
            <c:spPr>
              <a:ln>
                <a:solidFill>
                  <a:schemeClr val="tx1"/>
                </a:solidFill>
              </a:ln>
            </c:spPr>
          </c:marker>
          <c:xVal>
            <c:numRef>
              <c:f>WatLimNI!$V$94</c:f>
              <c:numCache>
                <c:formatCode>0.00</c:formatCode>
                <c:ptCount val="1"/>
                <c:pt idx="0">
                  <c:v>0.97499999999999998</c:v>
                </c:pt>
              </c:numCache>
            </c:numRef>
          </c:xVal>
          <c:yVal>
            <c:numRef>
              <c:f>WatLimNI!$V$92</c:f>
              <c:numCache>
                <c:formatCode>"$"#,##0</c:formatCode>
                <c:ptCount val="1"/>
                <c:pt idx="0">
                  <c:v>618.49246612664217</c:v>
                </c:pt>
              </c:numCache>
            </c:numRef>
          </c:yVal>
          <c:smooth val="1"/>
          <c:extLst>
            <c:ext xmlns:c16="http://schemas.microsoft.com/office/drawing/2014/chart" uri="{C3380CC4-5D6E-409C-BE32-E72D297353CC}">
              <c16:uniqueId val="{00000002-53F4-4274-BBC9-42ACFEC67C29}"/>
            </c:ext>
          </c:extLst>
        </c:ser>
        <c:ser>
          <c:idx val="2"/>
          <c:order val="2"/>
          <c:tx>
            <c:strRef>
              <c:f>WatLimNI!$L$22</c:f>
              <c:strCache>
                <c:ptCount val="1"/>
                <c:pt idx="0">
                  <c:v>NI Irrig</c:v>
                </c:pt>
              </c:strCache>
            </c:strRef>
          </c:tx>
          <c:spPr>
            <a:ln>
              <a:solidFill>
                <a:schemeClr val="accent1"/>
              </a:solidFill>
            </a:ln>
          </c:spPr>
          <c:marker>
            <c:symbol val="none"/>
          </c:marker>
          <c:xVal>
            <c:numRef>
              <c:f>WatLimNI!$A$25:$A$125</c:f>
              <c:numCache>
                <c:formatCode>General</c:formatCode>
                <c:ptCount val="101"/>
                <c:pt idx="0">
                  <c:v>1</c:v>
                </c:pt>
                <c:pt idx="1">
                  <c:v>0.995</c:v>
                </c:pt>
                <c:pt idx="2">
                  <c:v>0.99</c:v>
                </c:pt>
                <c:pt idx="3">
                  <c:v>0.98499999999999999</c:v>
                </c:pt>
                <c:pt idx="4">
                  <c:v>0.98</c:v>
                </c:pt>
                <c:pt idx="5">
                  <c:v>0.97499999999999998</c:v>
                </c:pt>
                <c:pt idx="6">
                  <c:v>0.97</c:v>
                </c:pt>
                <c:pt idx="7">
                  <c:v>0.96499999999999997</c:v>
                </c:pt>
                <c:pt idx="8">
                  <c:v>0.96</c:v>
                </c:pt>
                <c:pt idx="9">
                  <c:v>0.95499999999999996</c:v>
                </c:pt>
                <c:pt idx="10">
                  <c:v>0.95</c:v>
                </c:pt>
                <c:pt idx="11">
                  <c:v>0.94499999999999995</c:v>
                </c:pt>
                <c:pt idx="12">
                  <c:v>0.94</c:v>
                </c:pt>
                <c:pt idx="13">
                  <c:v>0.93499999999999994</c:v>
                </c:pt>
                <c:pt idx="14">
                  <c:v>0.92999999999999994</c:v>
                </c:pt>
                <c:pt idx="15">
                  <c:v>0.92499999999999993</c:v>
                </c:pt>
                <c:pt idx="16">
                  <c:v>0.91999999999999993</c:v>
                </c:pt>
                <c:pt idx="17">
                  <c:v>0.91499999999999992</c:v>
                </c:pt>
                <c:pt idx="18">
                  <c:v>0.90999999999999992</c:v>
                </c:pt>
                <c:pt idx="19">
                  <c:v>0.90499999999999992</c:v>
                </c:pt>
                <c:pt idx="20">
                  <c:v>0.89999999999999991</c:v>
                </c:pt>
                <c:pt idx="21">
                  <c:v>0.89499999999999991</c:v>
                </c:pt>
                <c:pt idx="22">
                  <c:v>0.8899999999999999</c:v>
                </c:pt>
                <c:pt idx="23">
                  <c:v>0.8849999999999999</c:v>
                </c:pt>
                <c:pt idx="24">
                  <c:v>0.87999999999999989</c:v>
                </c:pt>
                <c:pt idx="25">
                  <c:v>0.87499999999999989</c:v>
                </c:pt>
                <c:pt idx="26">
                  <c:v>0.86999999999999988</c:v>
                </c:pt>
                <c:pt idx="27">
                  <c:v>0.86499999999999988</c:v>
                </c:pt>
                <c:pt idx="28">
                  <c:v>0.85999999999999988</c:v>
                </c:pt>
                <c:pt idx="29">
                  <c:v>0.85499999999999987</c:v>
                </c:pt>
                <c:pt idx="30">
                  <c:v>0.84999999999999987</c:v>
                </c:pt>
                <c:pt idx="31">
                  <c:v>0.84499999999999986</c:v>
                </c:pt>
                <c:pt idx="32">
                  <c:v>0.83999999999999986</c:v>
                </c:pt>
                <c:pt idx="33">
                  <c:v>0.83499999999999985</c:v>
                </c:pt>
                <c:pt idx="34">
                  <c:v>0.82999999999999985</c:v>
                </c:pt>
                <c:pt idx="35">
                  <c:v>0.82499999999999984</c:v>
                </c:pt>
                <c:pt idx="36">
                  <c:v>0.81999999999999984</c:v>
                </c:pt>
                <c:pt idx="37">
                  <c:v>0.81499999999999984</c:v>
                </c:pt>
                <c:pt idx="38">
                  <c:v>0.80999999999999983</c:v>
                </c:pt>
                <c:pt idx="39">
                  <c:v>0.80499999999999983</c:v>
                </c:pt>
                <c:pt idx="40">
                  <c:v>0.79999999999999982</c:v>
                </c:pt>
                <c:pt idx="41">
                  <c:v>0.79499999999999982</c:v>
                </c:pt>
                <c:pt idx="42">
                  <c:v>0.78999999999999981</c:v>
                </c:pt>
                <c:pt idx="43">
                  <c:v>0.78499999999999981</c:v>
                </c:pt>
                <c:pt idx="44">
                  <c:v>0.7799999999999998</c:v>
                </c:pt>
                <c:pt idx="45">
                  <c:v>0.7749999999999998</c:v>
                </c:pt>
                <c:pt idx="46">
                  <c:v>0.7699999999999998</c:v>
                </c:pt>
                <c:pt idx="47">
                  <c:v>0.76499999999999979</c:v>
                </c:pt>
                <c:pt idx="48">
                  <c:v>0.75999999999999979</c:v>
                </c:pt>
                <c:pt idx="49">
                  <c:v>0.75499999999999978</c:v>
                </c:pt>
                <c:pt idx="50">
                  <c:v>0.74999999999999978</c:v>
                </c:pt>
                <c:pt idx="51">
                  <c:v>0.74499999999999977</c:v>
                </c:pt>
                <c:pt idx="52">
                  <c:v>0.73999999999999977</c:v>
                </c:pt>
                <c:pt idx="53">
                  <c:v>0.73499999999999976</c:v>
                </c:pt>
                <c:pt idx="54">
                  <c:v>0.72999999999999976</c:v>
                </c:pt>
                <c:pt idx="55">
                  <c:v>0.72499999999999976</c:v>
                </c:pt>
                <c:pt idx="56">
                  <c:v>0.71999999999999975</c:v>
                </c:pt>
                <c:pt idx="57">
                  <c:v>0.71499999999999975</c:v>
                </c:pt>
                <c:pt idx="58">
                  <c:v>0.70999999999999974</c:v>
                </c:pt>
                <c:pt idx="59">
                  <c:v>0.70499999999999974</c:v>
                </c:pt>
                <c:pt idx="60">
                  <c:v>0.69999999999999973</c:v>
                </c:pt>
                <c:pt idx="61">
                  <c:v>0.69499999999999973</c:v>
                </c:pt>
                <c:pt idx="62">
                  <c:v>0.68999999999999972</c:v>
                </c:pt>
                <c:pt idx="63">
                  <c:v>0.68499999999999972</c:v>
                </c:pt>
                <c:pt idx="64">
                  <c:v>0.67999999999999972</c:v>
                </c:pt>
                <c:pt idx="65">
                  <c:v>0.67499999999999971</c:v>
                </c:pt>
                <c:pt idx="66">
                  <c:v>0.66999999999999971</c:v>
                </c:pt>
                <c:pt idx="67">
                  <c:v>0.6649999999999997</c:v>
                </c:pt>
                <c:pt idx="68">
                  <c:v>0.6599999999999997</c:v>
                </c:pt>
                <c:pt idx="69">
                  <c:v>0.65499999999999969</c:v>
                </c:pt>
                <c:pt idx="70">
                  <c:v>0.64999999999999969</c:v>
                </c:pt>
                <c:pt idx="71">
                  <c:v>0.64499999999999968</c:v>
                </c:pt>
                <c:pt idx="72">
                  <c:v>0.63999999999999968</c:v>
                </c:pt>
                <c:pt idx="73">
                  <c:v>0.63499999999999968</c:v>
                </c:pt>
                <c:pt idx="74">
                  <c:v>0.62999999999999967</c:v>
                </c:pt>
                <c:pt idx="75">
                  <c:v>0.62499999999999967</c:v>
                </c:pt>
                <c:pt idx="76">
                  <c:v>0.61999999999999966</c:v>
                </c:pt>
                <c:pt idx="77">
                  <c:v>0.61499999999999966</c:v>
                </c:pt>
                <c:pt idx="78">
                  <c:v>0.60999999999999965</c:v>
                </c:pt>
                <c:pt idx="79">
                  <c:v>0.60499999999999965</c:v>
                </c:pt>
                <c:pt idx="80">
                  <c:v>0.59999999999999964</c:v>
                </c:pt>
                <c:pt idx="81">
                  <c:v>0.59499999999999964</c:v>
                </c:pt>
                <c:pt idx="82">
                  <c:v>0.58999999999999964</c:v>
                </c:pt>
                <c:pt idx="83">
                  <c:v>0.58499999999999963</c:v>
                </c:pt>
                <c:pt idx="84">
                  <c:v>0.57999999999999963</c:v>
                </c:pt>
                <c:pt idx="85">
                  <c:v>0.57499999999999962</c:v>
                </c:pt>
                <c:pt idx="86">
                  <c:v>0.56999999999999962</c:v>
                </c:pt>
                <c:pt idx="87">
                  <c:v>0.56499999999999961</c:v>
                </c:pt>
                <c:pt idx="88">
                  <c:v>0.55999999999999961</c:v>
                </c:pt>
                <c:pt idx="89">
                  <c:v>0.5549999999999996</c:v>
                </c:pt>
                <c:pt idx="90">
                  <c:v>0.5499999999999996</c:v>
                </c:pt>
                <c:pt idx="91">
                  <c:v>0.5449999999999996</c:v>
                </c:pt>
                <c:pt idx="92">
                  <c:v>0.53999999999999959</c:v>
                </c:pt>
                <c:pt idx="93">
                  <c:v>0.53499999999999959</c:v>
                </c:pt>
                <c:pt idx="94">
                  <c:v>0.52999999999999958</c:v>
                </c:pt>
                <c:pt idx="95">
                  <c:v>0.52499999999999958</c:v>
                </c:pt>
                <c:pt idx="96">
                  <c:v>0.51999999999999957</c:v>
                </c:pt>
                <c:pt idx="97">
                  <c:v>0.51499999999999957</c:v>
                </c:pt>
                <c:pt idx="98">
                  <c:v>0.50999999999999956</c:v>
                </c:pt>
                <c:pt idx="99">
                  <c:v>0.50499999999999956</c:v>
                </c:pt>
                <c:pt idx="100">
                  <c:v>0.49999999999999956</c:v>
                </c:pt>
              </c:numCache>
            </c:numRef>
          </c:xVal>
          <c:yVal>
            <c:numRef>
              <c:f>WatLimNI!$L$25:$L$125</c:f>
              <c:numCache>
                <c:formatCode>"$"#,##0</c:formatCode>
                <c:ptCount val="101"/>
                <c:pt idx="0">
                  <c:v>500.19230769230762</c:v>
                </c:pt>
                <c:pt idx="1">
                  <c:v>503.90103591714734</c:v>
                </c:pt>
                <c:pt idx="2">
                  <c:v>507.57631233455885</c:v>
                </c:pt>
                <c:pt idx="3">
                  <c:v>511.21683833764507</c:v>
                </c:pt>
                <c:pt idx="4">
                  <c:v>514.82124924683683</c:v>
                </c:pt>
                <c:pt idx="5">
                  <c:v>518.38811007785853</c:v>
                </c:pt>
                <c:pt idx="6">
                  <c:v>521.91591098055289</c:v>
                </c:pt>
                <c:pt idx="7">
                  <c:v>525.403062318313</c:v>
                </c:pt>
                <c:pt idx="8">
                  <c:v>528.8478893546577</c:v>
                </c:pt>
                <c:pt idx="9">
                  <c:v>532.24862650986427</c:v>
                </c:pt>
                <c:pt idx="10">
                  <c:v>535.60341114652397</c:v>
                </c:pt>
                <c:pt idx="11">
                  <c:v>538.91027683832965</c:v>
                </c:pt>
                <c:pt idx="12">
                  <c:v>542.16714607125562</c:v>
                </c:pt>
                <c:pt idx="13">
                  <c:v>545.3718223205143</c:v>
                </c:pt>
                <c:pt idx="14">
                  <c:v>548.52198144010345</c:v>
                </c:pt>
                <c:pt idx="15">
                  <c:v>551.61516229435313</c:v>
                </c:pt>
                <c:pt idx="16">
                  <c:v>554.64875655248125</c:v>
                </c:pt>
                <c:pt idx="17">
                  <c:v>557.61999755759769</c:v>
                </c:pt>
                <c:pt idx="18">
                  <c:v>560.52594817074362</c:v>
                </c:pt>
                <c:pt idx="19">
                  <c:v>563.36348747814088</c:v>
                </c:pt>
                <c:pt idx="20">
                  <c:v>566.12929623567891</c:v>
                </c:pt>
                <c:pt idx="21">
                  <c:v>568.81984090845151</c:v>
                </c:pt>
                <c:pt idx="22">
                  <c:v>571.43135614454593</c:v>
                </c:pt>
                <c:pt idx="23">
                  <c:v>573.95982550093004</c:v>
                </c:pt>
                <c:pt idx="24">
                  <c:v>576.40096021463603</c:v>
                </c:pt>
                <c:pt idx="25">
                  <c:v>578.75017578399661</c:v>
                </c:pt>
                <c:pt idx="26">
                  <c:v>580.17162266849368</c:v>
                </c:pt>
                <c:pt idx="27">
                  <c:v>568.57643325192385</c:v>
                </c:pt>
                <c:pt idx="28">
                  <c:v>556.94655793803895</c:v>
                </c:pt>
                <c:pt idx="29">
                  <c:v>545.28261939065942</c:v>
                </c:pt>
                <c:pt idx="30">
                  <c:v>533.58522534733902</c:v>
                </c:pt>
                <c:pt idx="31">
                  <c:v>521.85496906260255</c:v>
                </c:pt>
                <c:pt idx="32">
                  <c:v>510.09242973545292</c:v>
                </c:pt>
                <c:pt idx="33">
                  <c:v>498.29817292181542</c:v>
                </c:pt>
                <c:pt idx="34">
                  <c:v>486.47275093251528</c:v>
                </c:pt>
                <c:pt idx="35">
                  <c:v>474.61670321738848</c:v>
                </c:pt>
                <c:pt idx="36">
                  <c:v>462.73055673608133</c:v>
                </c:pt>
                <c:pt idx="37">
                  <c:v>450.81482631607309</c:v>
                </c:pt>
                <c:pt idx="38">
                  <c:v>438.87001499843791</c:v>
                </c:pt>
                <c:pt idx="39">
                  <c:v>426.89661437182008</c:v>
                </c:pt>
                <c:pt idx="40">
                  <c:v>414.8951048951044</c:v>
                </c:pt>
                <c:pt idx="41">
                  <c:v>402.86595620921298</c:v>
                </c:pt>
                <c:pt idx="42">
                  <c:v>390.80962743845976</c:v>
                </c:pt>
                <c:pt idx="43">
                  <c:v>378.72656748186273</c:v>
                </c:pt>
                <c:pt idx="44">
                  <c:v>366.61721529480792</c:v>
                </c:pt>
                <c:pt idx="45">
                  <c:v>354.48200016143278</c:v>
                </c:pt>
                <c:pt idx="46">
                  <c:v>342.32134195808021</c:v>
                </c:pt>
                <c:pt idx="47">
                  <c:v>330.1356514081674</c:v>
                </c:pt>
                <c:pt idx="48">
                  <c:v>317.92533032879192</c:v>
                </c:pt>
                <c:pt idx="49">
                  <c:v>305.69077186938398</c:v>
                </c:pt>
                <c:pt idx="50">
                  <c:v>293.43236074270476</c:v>
                </c:pt>
                <c:pt idx="51">
                  <c:v>281.15047344847562</c:v>
                </c:pt>
                <c:pt idx="52">
                  <c:v>268.84547848990292</c:v>
                </c:pt>
                <c:pt idx="53">
                  <c:v>256.51773658337333</c:v>
                </c:pt>
                <c:pt idx="54">
                  <c:v>244.16760086155796</c:v>
                </c:pt>
                <c:pt idx="55">
                  <c:v>231.79541707016983</c:v>
                </c:pt>
                <c:pt idx="56">
                  <c:v>219.40152375860407</c:v>
                </c:pt>
                <c:pt idx="57">
                  <c:v>206.98625246468112</c:v>
                </c:pt>
                <c:pt idx="58">
                  <c:v>194.5499278937059</c:v>
                </c:pt>
                <c:pt idx="59">
                  <c:v>182.09286809203877</c:v>
                </c:pt>
                <c:pt idx="60">
                  <c:v>169.61538461538396</c:v>
                </c:pt>
                <c:pt idx="61">
                  <c:v>157.1177826919718</c:v>
                </c:pt>
                <c:pt idx="62">
                  <c:v>144.60036138081989</c:v>
                </c:pt>
                <c:pt idx="63">
                  <c:v>132.06341372524207</c:v>
                </c:pt>
                <c:pt idx="64">
                  <c:v>119.50722690177213</c:v>
                </c:pt>
                <c:pt idx="65">
                  <c:v>106.93208236466194</c:v>
                </c:pt>
                <c:pt idx="66">
                  <c:v>94.338255986099966</c:v>
                </c:pt>
                <c:pt idx="67">
                  <c:v>81.726018192305446</c:v>
                </c:pt>
                <c:pt idx="68">
                  <c:v>69.095634095633386</c:v>
                </c:pt>
                <c:pt idx="69">
                  <c:v>56.44736362282606</c:v>
                </c:pt>
                <c:pt idx="70">
                  <c:v>43.781461639542158</c:v>
                </c:pt>
                <c:pt idx="71">
                  <c:v>31.098178071288658</c:v>
                </c:pt>
                <c:pt idx="72">
                  <c:v>18.397758020872743</c:v>
                </c:pt>
                <c:pt idx="73">
                  <c:v>5.6804418824953018</c:v>
                </c:pt>
                <c:pt idx="74">
                  <c:v>-7.0535345474095266</c:v>
                </c:pt>
                <c:pt idx="75">
                  <c:v>-19.803939962477443</c:v>
                </c:pt>
                <c:pt idx="76">
                  <c:v>-32.570547441757526</c:v>
                </c:pt>
                <c:pt idx="77">
                  <c:v>-45.353134347997184</c:v>
                </c:pt>
                <c:pt idx="78">
                  <c:v>-58.151482228776445</c:v>
                </c:pt>
                <c:pt idx="79">
                  <c:v>-70.965376720390054</c:v>
                </c:pt>
                <c:pt idx="80">
                  <c:v>-83.794607454402239</c:v>
                </c:pt>
                <c:pt idx="81">
                  <c:v>-96.638967966777273</c:v>
                </c:pt>
                <c:pt idx="82">
                  <c:v>-109.49825560951047</c:v>
                </c:pt>
                <c:pt idx="83">
                  <c:v>-122.37227146467615</c:v>
                </c:pt>
                <c:pt idx="84">
                  <c:v>-136.53846153846257</c:v>
                </c:pt>
                <c:pt idx="85">
                  <c:v>-150.9615384615397</c:v>
                </c:pt>
                <c:pt idx="86">
                  <c:v>-165.38461538461661</c:v>
                </c:pt>
                <c:pt idx="87">
                  <c:v>-179.80769230769351</c:v>
                </c:pt>
                <c:pt idx="88">
                  <c:v>-194.23076923077053</c:v>
                </c:pt>
                <c:pt idx="89">
                  <c:v>-208.65384615384744</c:v>
                </c:pt>
                <c:pt idx="90">
                  <c:v>-223.07692307692423</c:v>
                </c:pt>
                <c:pt idx="91">
                  <c:v>-237.50000000000114</c:v>
                </c:pt>
                <c:pt idx="92">
                  <c:v>-251.92307692307816</c:v>
                </c:pt>
                <c:pt idx="93">
                  <c:v>-266.34615384615506</c:v>
                </c:pt>
                <c:pt idx="94">
                  <c:v>-280.76923076923197</c:v>
                </c:pt>
                <c:pt idx="95">
                  <c:v>-295.19230769230904</c:v>
                </c:pt>
                <c:pt idx="96">
                  <c:v>-309.61538461538589</c:v>
                </c:pt>
                <c:pt idx="97">
                  <c:v>-324.0384615384628</c:v>
                </c:pt>
                <c:pt idx="98">
                  <c:v>-338.46153846153982</c:v>
                </c:pt>
                <c:pt idx="99">
                  <c:v>-352.88461538461684</c:v>
                </c:pt>
                <c:pt idx="100">
                  <c:v>-367.30769230769363</c:v>
                </c:pt>
              </c:numCache>
            </c:numRef>
          </c:yVal>
          <c:smooth val="1"/>
          <c:extLst>
            <c:ext xmlns:c16="http://schemas.microsoft.com/office/drawing/2014/chart" uri="{C3380CC4-5D6E-409C-BE32-E72D297353CC}">
              <c16:uniqueId val="{00000003-53F4-4274-BBC9-42ACFEC67C29}"/>
            </c:ext>
          </c:extLst>
        </c:ser>
        <c:ser>
          <c:idx val="5"/>
          <c:order val="3"/>
          <c:tx>
            <c:v>Max NI Irr</c:v>
          </c:tx>
          <c:spPr>
            <a:ln>
              <a:noFill/>
            </a:ln>
          </c:spPr>
          <c:marker>
            <c:symbol val="x"/>
            <c:size val="9"/>
            <c:spPr>
              <a:ln>
                <a:solidFill>
                  <a:schemeClr val="accent3"/>
                </a:solidFill>
              </a:ln>
            </c:spPr>
          </c:marker>
          <c:xVal>
            <c:numRef>
              <c:f>WatLimNI!$V$99</c:f>
              <c:numCache>
                <c:formatCode>0.00</c:formatCode>
                <c:ptCount val="1"/>
              </c:numCache>
            </c:numRef>
          </c:xVal>
          <c:yVal>
            <c:numRef>
              <c:f>WatLimNI!$V$93</c:f>
              <c:numCache>
                <c:formatCode>"$"#,##0</c:formatCode>
                <c:ptCount val="1"/>
                <c:pt idx="0">
                  <c:v>580.17162266849368</c:v>
                </c:pt>
              </c:numCache>
            </c:numRef>
          </c:yVal>
          <c:smooth val="1"/>
          <c:extLst>
            <c:ext xmlns:c16="http://schemas.microsoft.com/office/drawing/2014/chart" uri="{C3380CC4-5D6E-409C-BE32-E72D297353CC}">
              <c16:uniqueId val="{00000000-A0C5-4AF9-8944-4C91B5744639}"/>
            </c:ext>
          </c:extLst>
        </c:ser>
        <c:ser>
          <c:idx val="6"/>
          <c:order val="4"/>
          <c:tx>
            <c:v>NI Irr per Ha</c:v>
          </c:tx>
          <c:spPr>
            <a:ln>
              <a:solidFill>
                <a:schemeClr val="accent1"/>
              </a:solidFill>
              <a:prstDash val="sysDash"/>
            </a:ln>
          </c:spPr>
          <c:marker>
            <c:symbol val="none"/>
          </c:marker>
          <c:xVal>
            <c:numRef>
              <c:f>WatLimNI!$A$25:$A$125</c:f>
              <c:numCache>
                <c:formatCode>General</c:formatCode>
                <c:ptCount val="101"/>
                <c:pt idx="0">
                  <c:v>1</c:v>
                </c:pt>
                <c:pt idx="1">
                  <c:v>0.995</c:v>
                </c:pt>
                <c:pt idx="2">
                  <c:v>0.99</c:v>
                </c:pt>
                <c:pt idx="3">
                  <c:v>0.98499999999999999</c:v>
                </c:pt>
                <c:pt idx="4">
                  <c:v>0.98</c:v>
                </c:pt>
                <c:pt idx="5">
                  <c:v>0.97499999999999998</c:v>
                </c:pt>
                <c:pt idx="6">
                  <c:v>0.97</c:v>
                </c:pt>
                <c:pt idx="7">
                  <c:v>0.96499999999999997</c:v>
                </c:pt>
                <c:pt idx="8">
                  <c:v>0.96</c:v>
                </c:pt>
                <c:pt idx="9">
                  <c:v>0.95499999999999996</c:v>
                </c:pt>
                <c:pt idx="10">
                  <c:v>0.95</c:v>
                </c:pt>
                <c:pt idx="11">
                  <c:v>0.94499999999999995</c:v>
                </c:pt>
                <c:pt idx="12">
                  <c:v>0.94</c:v>
                </c:pt>
                <c:pt idx="13">
                  <c:v>0.93499999999999994</c:v>
                </c:pt>
                <c:pt idx="14">
                  <c:v>0.92999999999999994</c:v>
                </c:pt>
                <c:pt idx="15">
                  <c:v>0.92499999999999993</c:v>
                </c:pt>
                <c:pt idx="16">
                  <c:v>0.91999999999999993</c:v>
                </c:pt>
                <c:pt idx="17">
                  <c:v>0.91499999999999992</c:v>
                </c:pt>
                <c:pt idx="18">
                  <c:v>0.90999999999999992</c:v>
                </c:pt>
                <c:pt idx="19">
                  <c:v>0.90499999999999992</c:v>
                </c:pt>
                <c:pt idx="20">
                  <c:v>0.89999999999999991</c:v>
                </c:pt>
                <c:pt idx="21">
                  <c:v>0.89499999999999991</c:v>
                </c:pt>
                <c:pt idx="22">
                  <c:v>0.8899999999999999</c:v>
                </c:pt>
                <c:pt idx="23">
                  <c:v>0.8849999999999999</c:v>
                </c:pt>
                <c:pt idx="24">
                  <c:v>0.87999999999999989</c:v>
                </c:pt>
                <c:pt idx="25">
                  <c:v>0.87499999999999989</c:v>
                </c:pt>
                <c:pt idx="26">
                  <c:v>0.86999999999999988</c:v>
                </c:pt>
                <c:pt idx="27">
                  <c:v>0.86499999999999988</c:v>
                </c:pt>
                <c:pt idx="28">
                  <c:v>0.85999999999999988</c:v>
                </c:pt>
                <c:pt idx="29">
                  <c:v>0.85499999999999987</c:v>
                </c:pt>
                <c:pt idx="30">
                  <c:v>0.84999999999999987</c:v>
                </c:pt>
                <c:pt idx="31">
                  <c:v>0.84499999999999986</c:v>
                </c:pt>
                <c:pt idx="32">
                  <c:v>0.83999999999999986</c:v>
                </c:pt>
                <c:pt idx="33">
                  <c:v>0.83499999999999985</c:v>
                </c:pt>
                <c:pt idx="34">
                  <c:v>0.82999999999999985</c:v>
                </c:pt>
                <c:pt idx="35">
                  <c:v>0.82499999999999984</c:v>
                </c:pt>
                <c:pt idx="36">
                  <c:v>0.81999999999999984</c:v>
                </c:pt>
                <c:pt idx="37">
                  <c:v>0.81499999999999984</c:v>
                </c:pt>
                <c:pt idx="38">
                  <c:v>0.80999999999999983</c:v>
                </c:pt>
                <c:pt idx="39">
                  <c:v>0.80499999999999983</c:v>
                </c:pt>
                <c:pt idx="40">
                  <c:v>0.79999999999999982</c:v>
                </c:pt>
                <c:pt idx="41">
                  <c:v>0.79499999999999982</c:v>
                </c:pt>
                <c:pt idx="42">
                  <c:v>0.78999999999999981</c:v>
                </c:pt>
                <c:pt idx="43">
                  <c:v>0.78499999999999981</c:v>
                </c:pt>
                <c:pt idx="44">
                  <c:v>0.7799999999999998</c:v>
                </c:pt>
                <c:pt idx="45">
                  <c:v>0.7749999999999998</c:v>
                </c:pt>
                <c:pt idx="46">
                  <c:v>0.7699999999999998</c:v>
                </c:pt>
                <c:pt idx="47">
                  <c:v>0.76499999999999979</c:v>
                </c:pt>
                <c:pt idx="48">
                  <c:v>0.75999999999999979</c:v>
                </c:pt>
                <c:pt idx="49">
                  <c:v>0.75499999999999978</c:v>
                </c:pt>
                <c:pt idx="50">
                  <c:v>0.74999999999999978</c:v>
                </c:pt>
                <c:pt idx="51">
                  <c:v>0.74499999999999977</c:v>
                </c:pt>
                <c:pt idx="52">
                  <c:v>0.73999999999999977</c:v>
                </c:pt>
                <c:pt idx="53">
                  <c:v>0.73499999999999976</c:v>
                </c:pt>
                <c:pt idx="54">
                  <c:v>0.72999999999999976</c:v>
                </c:pt>
                <c:pt idx="55">
                  <c:v>0.72499999999999976</c:v>
                </c:pt>
                <c:pt idx="56">
                  <c:v>0.71999999999999975</c:v>
                </c:pt>
                <c:pt idx="57">
                  <c:v>0.71499999999999975</c:v>
                </c:pt>
                <c:pt idx="58">
                  <c:v>0.70999999999999974</c:v>
                </c:pt>
                <c:pt idx="59">
                  <c:v>0.70499999999999974</c:v>
                </c:pt>
                <c:pt idx="60">
                  <c:v>0.69999999999999973</c:v>
                </c:pt>
                <c:pt idx="61">
                  <c:v>0.69499999999999973</c:v>
                </c:pt>
                <c:pt idx="62">
                  <c:v>0.68999999999999972</c:v>
                </c:pt>
                <c:pt idx="63">
                  <c:v>0.68499999999999972</c:v>
                </c:pt>
                <c:pt idx="64">
                  <c:v>0.67999999999999972</c:v>
                </c:pt>
                <c:pt idx="65">
                  <c:v>0.67499999999999971</c:v>
                </c:pt>
                <c:pt idx="66">
                  <c:v>0.66999999999999971</c:v>
                </c:pt>
                <c:pt idx="67">
                  <c:v>0.6649999999999997</c:v>
                </c:pt>
                <c:pt idx="68">
                  <c:v>0.6599999999999997</c:v>
                </c:pt>
                <c:pt idx="69">
                  <c:v>0.65499999999999969</c:v>
                </c:pt>
                <c:pt idx="70">
                  <c:v>0.64999999999999969</c:v>
                </c:pt>
                <c:pt idx="71">
                  <c:v>0.64499999999999968</c:v>
                </c:pt>
                <c:pt idx="72">
                  <c:v>0.63999999999999968</c:v>
                </c:pt>
                <c:pt idx="73">
                  <c:v>0.63499999999999968</c:v>
                </c:pt>
                <c:pt idx="74">
                  <c:v>0.62999999999999967</c:v>
                </c:pt>
                <c:pt idx="75">
                  <c:v>0.62499999999999967</c:v>
                </c:pt>
                <c:pt idx="76">
                  <c:v>0.61999999999999966</c:v>
                </c:pt>
                <c:pt idx="77">
                  <c:v>0.61499999999999966</c:v>
                </c:pt>
                <c:pt idx="78">
                  <c:v>0.60999999999999965</c:v>
                </c:pt>
                <c:pt idx="79">
                  <c:v>0.60499999999999965</c:v>
                </c:pt>
                <c:pt idx="80">
                  <c:v>0.59999999999999964</c:v>
                </c:pt>
                <c:pt idx="81">
                  <c:v>0.59499999999999964</c:v>
                </c:pt>
                <c:pt idx="82">
                  <c:v>0.58999999999999964</c:v>
                </c:pt>
                <c:pt idx="83">
                  <c:v>0.58499999999999963</c:v>
                </c:pt>
                <c:pt idx="84">
                  <c:v>0.57999999999999963</c:v>
                </c:pt>
                <c:pt idx="85">
                  <c:v>0.57499999999999962</c:v>
                </c:pt>
                <c:pt idx="86">
                  <c:v>0.56999999999999962</c:v>
                </c:pt>
                <c:pt idx="87">
                  <c:v>0.56499999999999961</c:v>
                </c:pt>
                <c:pt idx="88">
                  <c:v>0.55999999999999961</c:v>
                </c:pt>
                <c:pt idx="89">
                  <c:v>0.5549999999999996</c:v>
                </c:pt>
                <c:pt idx="90">
                  <c:v>0.5499999999999996</c:v>
                </c:pt>
                <c:pt idx="91">
                  <c:v>0.5449999999999996</c:v>
                </c:pt>
                <c:pt idx="92">
                  <c:v>0.53999999999999959</c:v>
                </c:pt>
                <c:pt idx="93">
                  <c:v>0.53499999999999959</c:v>
                </c:pt>
                <c:pt idx="94">
                  <c:v>0.52999999999999958</c:v>
                </c:pt>
                <c:pt idx="95">
                  <c:v>0.52499999999999958</c:v>
                </c:pt>
                <c:pt idx="96">
                  <c:v>0.51999999999999957</c:v>
                </c:pt>
                <c:pt idx="97">
                  <c:v>0.51499999999999957</c:v>
                </c:pt>
                <c:pt idx="98">
                  <c:v>0.50999999999999956</c:v>
                </c:pt>
                <c:pt idx="99">
                  <c:v>0.50499999999999956</c:v>
                </c:pt>
                <c:pt idx="100">
                  <c:v>0.49999999999999956</c:v>
                </c:pt>
              </c:numCache>
            </c:numRef>
          </c:xVal>
          <c:yVal>
            <c:numRef>
              <c:f>WatLimNI!$H$25:$H$125</c:f>
              <c:numCache>
                <c:formatCode>"$"#,##0</c:formatCode>
                <c:ptCount val="101"/>
                <c:pt idx="0">
                  <c:v>867</c:v>
                </c:pt>
                <c:pt idx="1">
                  <c:v>856.58747051552041</c:v>
                </c:pt>
                <c:pt idx="2">
                  <c:v>846.11688001746757</c:v>
                </c:pt>
                <c:pt idx="3">
                  <c:v>835.58946756057185</c:v>
                </c:pt>
                <c:pt idx="4">
                  <c:v>825.00643707756672</c:v>
                </c:pt>
                <c:pt idx="5">
                  <c:v>814.3689586135697</c:v>
                </c:pt>
                <c:pt idx="6">
                  <c:v>803.67816950874999</c:v>
                </c:pt>
                <c:pt idx="7">
                  <c:v>792.93517553178913</c:v>
                </c:pt>
                <c:pt idx="8">
                  <c:v>782.14105196651371</c:v>
                </c:pt>
                <c:pt idx="9">
                  <c:v>771.29684465393257</c:v>
                </c:pt>
                <c:pt idx="10">
                  <c:v>760.40357099180596</c:v>
                </c:pt>
                <c:pt idx="11">
                  <c:v>749.46222089374851</c:v>
                </c:pt>
                <c:pt idx="12">
                  <c:v>738.4737577097635</c:v>
                </c:pt>
                <c:pt idx="13">
                  <c:v>727.43911911000873</c:v>
                </c:pt>
                <c:pt idx="14">
                  <c:v>716.35921793349439</c:v>
                </c:pt>
                <c:pt idx="15">
                  <c:v>705.23494300332118</c:v>
                </c:pt>
                <c:pt idx="16">
                  <c:v>694.06715990999578</c:v>
                </c:pt>
                <c:pt idx="17">
                  <c:v>682.85671176426581</c:v>
                </c:pt>
                <c:pt idx="18">
                  <c:v>671.60441992084952</c:v>
                </c:pt>
                <c:pt idx="19">
                  <c:v>660.31108467436661</c:v>
                </c:pt>
                <c:pt idx="20">
                  <c:v>648.97748592870494</c:v>
                </c:pt>
                <c:pt idx="21">
                  <c:v>637.6043838410028</c:v>
                </c:pt>
                <c:pt idx="22">
                  <c:v>626.19251944135476</c:v>
                </c:pt>
                <c:pt idx="23">
                  <c:v>614.74261522931124</c:v>
                </c:pt>
                <c:pt idx="24">
                  <c:v>603.25537574817076</c:v>
                </c:pt>
                <c:pt idx="25">
                  <c:v>591.73148813802982</c:v>
                </c:pt>
                <c:pt idx="26">
                  <c:v>580.17162266849368</c:v>
                </c:pt>
                <c:pt idx="27">
                  <c:v>568.57643325192385</c:v>
                </c:pt>
                <c:pt idx="28">
                  <c:v>556.94655793803895</c:v>
                </c:pt>
                <c:pt idx="29">
                  <c:v>545.28261939065942</c:v>
                </c:pt>
                <c:pt idx="30">
                  <c:v>533.58522534733902</c:v>
                </c:pt>
                <c:pt idx="31">
                  <c:v>521.85496906260255</c:v>
                </c:pt>
                <c:pt idx="32">
                  <c:v>510.09242973545292</c:v>
                </c:pt>
                <c:pt idx="33">
                  <c:v>498.29817292181542</c:v>
                </c:pt>
                <c:pt idx="34">
                  <c:v>486.47275093251528</c:v>
                </c:pt>
                <c:pt idx="35">
                  <c:v>474.61670321738848</c:v>
                </c:pt>
                <c:pt idx="36">
                  <c:v>462.73055673608133</c:v>
                </c:pt>
                <c:pt idx="37">
                  <c:v>450.81482631607309</c:v>
                </c:pt>
                <c:pt idx="38">
                  <c:v>438.87001499843791</c:v>
                </c:pt>
                <c:pt idx="39">
                  <c:v>426.89661437182008</c:v>
                </c:pt>
                <c:pt idx="40">
                  <c:v>414.8951048951044</c:v>
                </c:pt>
                <c:pt idx="41">
                  <c:v>402.86595620921298</c:v>
                </c:pt>
                <c:pt idx="42">
                  <c:v>390.80962743845976</c:v>
                </c:pt>
                <c:pt idx="43">
                  <c:v>378.72656748186273</c:v>
                </c:pt>
                <c:pt idx="44">
                  <c:v>366.61721529480792</c:v>
                </c:pt>
                <c:pt idx="45">
                  <c:v>354.48200016143278</c:v>
                </c:pt>
                <c:pt idx="46">
                  <c:v>342.32134195808021</c:v>
                </c:pt>
                <c:pt idx="47">
                  <c:v>330.1356514081674</c:v>
                </c:pt>
                <c:pt idx="48">
                  <c:v>317.92533032879192</c:v>
                </c:pt>
                <c:pt idx="49">
                  <c:v>305.69077186938398</c:v>
                </c:pt>
                <c:pt idx="50">
                  <c:v>293.43236074270476</c:v>
                </c:pt>
                <c:pt idx="51">
                  <c:v>281.15047344847562</c:v>
                </c:pt>
                <c:pt idx="52">
                  <c:v>268.84547848990292</c:v>
                </c:pt>
                <c:pt idx="53">
                  <c:v>256.51773658337333</c:v>
                </c:pt>
                <c:pt idx="54">
                  <c:v>244.16760086155796</c:v>
                </c:pt>
                <c:pt idx="55">
                  <c:v>231.79541707016983</c:v>
                </c:pt>
                <c:pt idx="56">
                  <c:v>219.40152375860407</c:v>
                </c:pt>
                <c:pt idx="57">
                  <c:v>206.98625246468112</c:v>
                </c:pt>
                <c:pt idx="58">
                  <c:v>194.5499278937059</c:v>
                </c:pt>
                <c:pt idx="59">
                  <c:v>182.09286809203877</c:v>
                </c:pt>
                <c:pt idx="60">
                  <c:v>169.61538461538396</c:v>
                </c:pt>
                <c:pt idx="61">
                  <c:v>157.1177826919718</c:v>
                </c:pt>
                <c:pt idx="62">
                  <c:v>144.60036138081989</c:v>
                </c:pt>
                <c:pt idx="63">
                  <c:v>132.06341372524207</c:v>
                </c:pt>
                <c:pt idx="64">
                  <c:v>119.50722690177213</c:v>
                </c:pt>
                <c:pt idx="65">
                  <c:v>106.93208236466194</c:v>
                </c:pt>
                <c:pt idx="66">
                  <c:v>94.338255986099966</c:v>
                </c:pt>
                <c:pt idx="67">
                  <c:v>81.726018192305446</c:v>
                </c:pt>
                <c:pt idx="68">
                  <c:v>69.095634095633386</c:v>
                </c:pt>
                <c:pt idx="69">
                  <c:v>56.44736362282606</c:v>
                </c:pt>
                <c:pt idx="70">
                  <c:v>43.781461639542158</c:v>
                </c:pt>
                <c:pt idx="71">
                  <c:v>31.098178071288658</c:v>
                </c:pt>
                <c:pt idx="72">
                  <c:v>18.397758020872743</c:v>
                </c:pt>
                <c:pt idx="73">
                  <c:v>5.6804418824953018</c:v>
                </c:pt>
                <c:pt idx="74">
                  <c:v>-7.0535345474095266</c:v>
                </c:pt>
                <c:pt idx="75">
                  <c:v>-19.803939962477443</c:v>
                </c:pt>
                <c:pt idx="76">
                  <c:v>-32.570547441757526</c:v>
                </c:pt>
                <c:pt idx="77">
                  <c:v>-45.353134347997184</c:v>
                </c:pt>
                <c:pt idx="78">
                  <c:v>-58.151482228776445</c:v>
                </c:pt>
                <c:pt idx="79">
                  <c:v>-70.965376720390054</c:v>
                </c:pt>
                <c:pt idx="80">
                  <c:v>-83.794607454402239</c:v>
                </c:pt>
                <c:pt idx="81">
                  <c:v>-96.638967966777273</c:v>
                </c:pt>
                <c:pt idx="82">
                  <c:v>-109.49825560951047</c:v>
                </c:pt>
                <c:pt idx="83">
                  <c:v>-122.37227146467615</c:v>
                </c:pt>
                <c:pt idx="84">
                  <c:v>-136.53846153846257</c:v>
                </c:pt>
                <c:pt idx="85">
                  <c:v>-150.9615384615397</c:v>
                </c:pt>
                <c:pt idx="86">
                  <c:v>-165.38461538461661</c:v>
                </c:pt>
                <c:pt idx="87">
                  <c:v>-179.80769230769351</c:v>
                </c:pt>
                <c:pt idx="88">
                  <c:v>-194.23076923077053</c:v>
                </c:pt>
                <c:pt idx="89">
                  <c:v>-208.65384615384744</c:v>
                </c:pt>
                <c:pt idx="90">
                  <c:v>-223.07692307692423</c:v>
                </c:pt>
                <c:pt idx="91">
                  <c:v>-237.50000000000114</c:v>
                </c:pt>
                <c:pt idx="92">
                  <c:v>-251.92307692307816</c:v>
                </c:pt>
                <c:pt idx="93">
                  <c:v>-266.34615384615506</c:v>
                </c:pt>
                <c:pt idx="94">
                  <c:v>-280.76923076923197</c:v>
                </c:pt>
                <c:pt idx="95">
                  <c:v>-295.19230769230904</c:v>
                </c:pt>
                <c:pt idx="96">
                  <c:v>-309.61538461538589</c:v>
                </c:pt>
                <c:pt idx="97">
                  <c:v>-324.0384615384628</c:v>
                </c:pt>
                <c:pt idx="98">
                  <c:v>-338.46153846153982</c:v>
                </c:pt>
                <c:pt idx="99">
                  <c:v>-352.88461538461684</c:v>
                </c:pt>
                <c:pt idx="100">
                  <c:v>-367.30769230769363</c:v>
                </c:pt>
              </c:numCache>
            </c:numRef>
          </c:yVal>
          <c:smooth val="1"/>
          <c:extLst>
            <c:ext xmlns:c16="http://schemas.microsoft.com/office/drawing/2014/chart" uri="{C3380CC4-5D6E-409C-BE32-E72D297353CC}">
              <c16:uniqueId val="{00000000-A0DC-41CA-900F-86FD416CBA6B}"/>
            </c:ext>
          </c:extLst>
        </c:ser>
        <c:ser>
          <c:idx val="3"/>
          <c:order val="5"/>
          <c:tx>
            <c:strRef>
              <c:f>WatLimNI!$M$22</c:f>
              <c:strCache>
                <c:ptCount val="1"/>
                <c:pt idx="0">
                  <c:v>NI Rainfed</c:v>
                </c:pt>
              </c:strCache>
            </c:strRef>
          </c:tx>
          <c:spPr>
            <a:ln>
              <a:solidFill>
                <a:schemeClr val="accent2"/>
              </a:solidFill>
            </a:ln>
          </c:spPr>
          <c:marker>
            <c:symbol val="none"/>
          </c:marker>
          <c:xVal>
            <c:numRef>
              <c:f>WatLimNI!$A$25:$A$125</c:f>
              <c:numCache>
                <c:formatCode>General</c:formatCode>
                <c:ptCount val="101"/>
                <c:pt idx="0">
                  <c:v>1</c:v>
                </c:pt>
                <c:pt idx="1">
                  <c:v>0.995</c:v>
                </c:pt>
                <c:pt idx="2">
                  <c:v>0.99</c:v>
                </c:pt>
                <c:pt idx="3">
                  <c:v>0.98499999999999999</c:v>
                </c:pt>
                <c:pt idx="4">
                  <c:v>0.98</c:v>
                </c:pt>
                <c:pt idx="5">
                  <c:v>0.97499999999999998</c:v>
                </c:pt>
                <c:pt idx="6">
                  <c:v>0.97</c:v>
                </c:pt>
                <c:pt idx="7">
                  <c:v>0.96499999999999997</c:v>
                </c:pt>
                <c:pt idx="8">
                  <c:v>0.96</c:v>
                </c:pt>
                <c:pt idx="9">
                  <c:v>0.95499999999999996</c:v>
                </c:pt>
                <c:pt idx="10">
                  <c:v>0.95</c:v>
                </c:pt>
                <c:pt idx="11">
                  <c:v>0.94499999999999995</c:v>
                </c:pt>
                <c:pt idx="12">
                  <c:v>0.94</c:v>
                </c:pt>
                <c:pt idx="13">
                  <c:v>0.93499999999999994</c:v>
                </c:pt>
                <c:pt idx="14">
                  <c:v>0.92999999999999994</c:v>
                </c:pt>
                <c:pt idx="15">
                  <c:v>0.92499999999999993</c:v>
                </c:pt>
                <c:pt idx="16">
                  <c:v>0.91999999999999993</c:v>
                </c:pt>
                <c:pt idx="17">
                  <c:v>0.91499999999999992</c:v>
                </c:pt>
                <c:pt idx="18">
                  <c:v>0.90999999999999992</c:v>
                </c:pt>
                <c:pt idx="19">
                  <c:v>0.90499999999999992</c:v>
                </c:pt>
                <c:pt idx="20">
                  <c:v>0.89999999999999991</c:v>
                </c:pt>
                <c:pt idx="21">
                  <c:v>0.89499999999999991</c:v>
                </c:pt>
                <c:pt idx="22">
                  <c:v>0.8899999999999999</c:v>
                </c:pt>
                <c:pt idx="23">
                  <c:v>0.8849999999999999</c:v>
                </c:pt>
                <c:pt idx="24">
                  <c:v>0.87999999999999989</c:v>
                </c:pt>
                <c:pt idx="25">
                  <c:v>0.87499999999999989</c:v>
                </c:pt>
                <c:pt idx="26">
                  <c:v>0.86999999999999988</c:v>
                </c:pt>
                <c:pt idx="27">
                  <c:v>0.86499999999999988</c:v>
                </c:pt>
                <c:pt idx="28">
                  <c:v>0.85999999999999988</c:v>
                </c:pt>
                <c:pt idx="29">
                  <c:v>0.85499999999999987</c:v>
                </c:pt>
                <c:pt idx="30">
                  <c:v>0.84999999999999987</c:v>
                </c:pt>
                <c:pt idx="31">
                  <c:v>0.84499999999999986</c:v>
                </c:pt>
                <c:pt idx="32">
                  <c:v>0.83999999999999986</c:v>
                </c:pt>
                <c:pt idx="33">
                  <c:v>0.83499999999999985</c:v>
                </c:pt>
                <c:pt idx="34">
                  <c:v>0.82999999999999985</c:v>
                </c:pt>
                <c:pt idx="35">
                  <c:v>0.82499999999999984</c:v>
                </c:pt>
                <c:pt idx="36">
                  <c:v>0.81999999999999984</c:v>
                </c:pt>
                <c:pt idx="37">
                  <c:v>0.81499999999999984</c:v>
                </c:pt>
                <c:pt idx="38">
                  <c:v>0.80999999999999983</c:v>
                </c:pt>
                <c:pt idx="39">
                  <c:v>0.80499999999999983</c:v>
                </c:pt>
                <c:pt idx="40">
                  <c:v>0.79999999999999982</c:v>
                </c:pt>
                <c:pt idx="41">
                  <c:v>0.79499999999999982</c:v>
                </c:pt>
                <c:pt idx="42">
                  <c:v>0.78999999999999981</c:v>
                </c:pt>
                <c:pt idx="43">
                  <c:v>0.78499999999999981</c:v>
                </c:pt>
                <c:pt idx="44">
                  <c:v>0.7799999999999998</c:v>
                </c:pt>
                <c:pt idx="45">
                  <c:v>0.7749999999999998</c:v>
                </c:pt>
                <c:pt idx="46">
                  <c:v>0.7699999999999998</c:v>
                </c:pt>
                <c:pt idx="47">
                  <c:v>0.76499999999999979</c:v>
                </c:pt>
                <c:pt idx="48">
                  <c:v>0.75999999999999979</c:v>
                </c:pt>
                <c:pt idx="49">
                  <c:v>0.75499999999999978</c:v>
                </c:pt>
                <c:pt idx="50">
                  <c:v>0.74999999999999978</c:v>
                </c:pt>
                <c:pt idx="51">
                  <c:v>0.74499999999999977</c:v>
                </c:pt>
                <c:pt idx="52">
                  <c:v>0.73999999999999977</c:v>
                </c:pt>
                <c:pt idx="53">
                  <c:v>0.73499999999999976</c:v>
                </c:pt>
                <c:pt idx="54">
                  <c:v>0.72999999999999976</c:v>
                </c:pt>
                <c:pt idx="55">
                  <c:v>0.72499999999999976</c:v>
                </c:pt>
                <c:pt idx="56">
                  <c:v>0.71999999999999975</c:v>
                </c:pt>
                <c:pt idx="57">
                  <c:v>0.71499999999999975</c:v>
                </c:pt>
                <c:pt idx="58">
                  <c:v>0.70999999999999974</c:v>
                </c:pt>
                <c:pt idx="59">
                  <c:v>0.70499999999999974</c:v>
                </c:pt>
                <c:pt idx="60">
                  <c:v>0.69999999999999973</c:v>
                </c:pt>
                <c:pt idx="61">
                  <c:v>0.69499999999999973</c:v>
                </c:pt>
                <c:pt idx="62">
                  <c:v>0.68999999999999972</c:v>
                </c:pt>
                <c:pt idx="63">
                  <c:v>0.68499999999999972</c:v>
                </c:pt>
                <c:pt idx="64">
                  <c:v>0.67999999999999972</c:v>
                </c:pt>
                <c:pt idx="65">
                  <c:v>0.67499999999999971</c:v>
                </c:pt>
                <c:pt idx="66">
                  <c:v>0.66999999999999971</c:v>
                </c:pt>
                <c:pt idx="67">
                  <c:v>0.6649999999999997</c:v>
                </c:pt>
                <c:pt idx="68">
                  <c:v>0.6599999999999997</c:v>
                </c:pt>
                <c:pt idx="69">
                  <c:v>0.65499999999999969</c:v>
                </c:pt>
                <c:pt idx="70">
                  <c:v>0.64999999999999969</c:v>
                </c:pt>
                <c:pt idx="71">
                  <c:v>0.64499999999999968</c:v>
                </c:pt>
                <c:pt idx="72">
                  <c:v>0.63999999999999968</c:v>
                </c:pt>
                <c:pt idx="73">
                  <c:v>0.63499999999999968</c:v>
                </c:pt>
                <c:pt idx="74">
                  <c:v>0.62999999999999967</c:v>
                </c:pt>
                <c:pt idx="75">
                  <c:v>0.62499999999999967</c:v>
                </c:pt>
                <c:pt idx="76">
                  <c:v>0.61999999999999966</c:v>
                </c:pt>
                <c:pt idx="77">
                  <c:v>0.61499999999999966</c:v>
                </c:pt>
                <c:pt idx="78">
                  <c:v>0.60999999999999965</c:v>
                </c:pt>
                <c:pt idx="79">
                  <c:v>0.60499999999999965</c:v>
                </c:pt>
                <c:pt idx="80">
                  <c:v>0.59999999999999964</c:v>
                </c:pt>
                <c:pt idx="81">
                  <c:v>0.59499999999999964</c:v>
                </c:pt>
                <c:pt idx="82">
                  <c:v>0.58999999999999964</c:v>
                </c:pt>
                <c:pt idx="83">
                  <c:v>0.58499999999999963</c:v>
                </c:pt>
                <c:pt idx="84">
                  <c:v>0.57999999999999963</c:v>
                </c:pt>
                <c:pt idx="85">
                  <c:v>0.57499999999999962</c:v>
                </c:pt>
                <c:pt idx="86">
                  <c:v>0.56999999999999962</c:v>
                </c:pt>
                <c:pt idx="87">
                  <c:v>0.56499999999999961</c:v>
                </c:pt>
                <c:pt idx="88">
                  <c:v>0.55999999999999961</c:v>
                </c:pt>
                <c:pt idx="89">
                  <c:v>0.5549999999999996</c:v>
                </c:pt>
                <c:pt idx="90">
                  <c:v>0.5499999999999996</c:v>
                </c:pt>
                <c:pt idx="91">
                  <c:v>0.5449999999999996</c:v>
                </c:pt>
                <c:pt idx="92">
                  <c:v>0.53999999999999959</c:v>
                </c:pt>
                <c:pt idx="93">
                  <c:v>0.53499999999999959</c:v>
                </c:pt>
                <c:pt idx="94">
                  <c:v>0.52999999999999958</c:v>
                </c:pt>
                <c:pt idx="95">
                  <c:v>0.52499999999999958</c:v>
                </c:pt>
                <c:pt idx="96">
                  <c:v>0.51999999999999957</c:v>
                </c:pt>
                <c:pt idx="97">
                  <c:v>0.51499999999999957</c:v>
                </c:pt>
                <c:pt idx="98">
                  <c:v>0.50999999999999956</c:v>
                </c:pt>
                <c:pt idx="99">
                  <c:v>0.50499999999999956</c:v>
                </c:pt>
                <c:pt idx="100">
                  <c:v>0.49999999999999956</c:v>
                </c:pt>
              </c:numCache>
            </c:numRef>
          </c:xVal>
          <c:yVal>
            <c:numRef>
              <c:f>WatLimNI!$M$25:$M$125</c:f>
              <c:numCache>
                <c:formatCode>"$"#,##0</c:formatCode>
                <c:ptCount val="101"/>
                <c:pt idx="0">
                  <c:v>116.52789835582293</c:v>
                </c:pt>
                <c:pt idx="1">
                  <c:v>113.40380190862524</c:v>
                </c:pt>
                <c:pt idx="2">
                  <c:v>110.20237023024487</c:v>
                </c:pt>
                <c:pt idx="3">
                  <c:v>106.92070667234643</c:v>
                </c:pt>
                <c:pt idx="4">
                  <c:v>103.55576820417771</c:v>
                </c:pt>
                <c:pt idx="5">
                  <c:v>100.1043560487836</c:v>
                </c:pt>
                <c:pt idx="6">
                  <c:v>96.563105591146694</c:v>
                </c:pt>
                <c:pt idx="7">
                  <c:v>92.928475491342297</c:v>
                </c:pt>
                <c:pt idx="8">
                  <c:v>89.19673592867224</c:v>
                </c:pt>
                <c:pt idx="9">
                  <c:v>85.36395589475795</c:v>
                </c:pt>
                <c:pt idx="10">
                  <c:v>81.425989444606373</c:v>
                </c:pt>
                <c:pt idx="11">
                  <c:v>77.378460804572185</c:v>
                </c:pt>
                <c:pt idx="12">
                  <c:v>73.216748224782094</c:v>
                </c:pt>
                <c:pt idx="13">
                  <c:v>68.93596645076363</c:v>
                </c:pt>
                <c:pt idx="14">
                  <c:v>64.530947674537174</c:v>
                </c:pt>
                <c:pt idx="15">
                  <c:v>59.996220809027257</c:v>
                </c:pt>
                <c:pt idx="16">
                  <c:v>55.325988911052193</c:v>
                </c:pt>
                <c:pt idx="17">
                  <c:v>50.51410455702473</c:v>
                </c:pt>
                <c:pt idx="18">
                  <c:v>45.554042951448672</c:v>
                </c:pt>
                <c:pt idx="19">
                  <c:v>40.438872520882974</c:v>
                </c:pt>
                <c:pt idx="20">
                  <c:v>35.161222714716317</c:v>
                </c:pt>
                <c:pt idx="21">
                  <c:v>29.713248698237749</c:v>
                </c:pt>
                <c:pt idx="22">
                  <c:v>24.086592582355106</c:v>
                </c:pt>
                <c:pt idx="23">
                  <c:v>18.272340787022287</c:v>
                </c:pt>
                <c:pt idx="24">
                  <c:v>12.260977080953893</c:v>
                </c:pt>
                <c:pt idx="25">
                  <c:v>6.0423307773002835</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1"/>
          <c:extLst>
            <c:ext xmlns:c16="http://schemas.microsoft.com/office/drawing/2014/chart" uri="{C3380CC4-5D6E-409C-BE32-E72D297353CC}">
              <c16:uniqueId val="{00000004-53F4-4274-BBC9-42ACFEC67C29}"/>
            </c:ext>
          </c:extLst>
        </c:ser>
        <c:ser>
          <c:idx val="7"/>
          <c:order val="6"/>
          <c:tx>
            <c:v>NI Rainfed per Ha</c:v>
          </c:tx>
          <c:spPr>
            <a:ln>
              <a:solidFill>
                <a:schemeClr val="accent2"/>
              </a:solidFill>
              <a:prstDash val="sysDash"/>
            </a:ln>
          </c:spPr>
          <c:marker>
            <c:symbol val="none"/>
          </c:marker>
          <c:xVal>
            <c:numRef>
              <c:f>WatLimNI!$A$26:$A$125</c:f>
              <c:numCache>
                <c:formatCode>General</c:formatCode>
                <c:ptCount val="100"/>
                <c:pt idx="0">
                  <c:v>0.995</c:v>
                </c:pt>
                <c:pt idx="1">
                  <c:v>0.99</c:v>
                </c:pt>
                <c:pt idx="2">
                  <c:v>0.98499999999999999</c:v>
                </c:pt>
                <c:pt idx="3">
                  <c:v>0.98</c:v>
                </c:pt>
                <c:pt idx="4">
                  <c:v>0.97499999999999998</c:v>
                </c:pt>
                <c:pt idx="5">
                  <c:v>0.97</c:v>
                </c:pt>
                <c:pt idx="6">
                  <c:v>0.96499999999999997</c:v>
                </c:pt>
                <c:pt idx="7">
                  <c:v>0.96</c:v>
                </c:pt>
                <c:pt idx="8">
                  <c:v>0.95499999999999996</c:v>
                </c:pt>
                <c:pt idx="9">
                  <c:v>0.95</c:v>
                </c:pt>
                <c:pt idx="10">
                  <c:v>0.94499999999999995</c:v>
                </c:pt>
                <c:pt idx="11">
                  <c:v>0.94</c:v>
                </c:pt>
                <c:pt idx="12">
                  <c:v>0.93499999999999994</c:v>
                </c:pt>
                <c:pt idx="13">
                  <c:v>0.92999999999999994</c:v>
                </c:pt>
                <c:pt idx="14">
                  <c:v>0.92499999999999993</c:v>
                </c:pt>
                <c:pt idx="15">
                  <c:v>0.91999999999999993</c:v>
                </c:pt>
                <c:pt idx="16">
                  <c:v>0.91499999999999992</c:v>
                </c:pt>
                <c:pt idx="17">
                  <c:v>0.90999999999999992</c:v>
                </c:pt>
                <c:pt idx="18">
                  <c:v>0.90499999999999992</c:v>
                </c:pt>
                <c:pt idx="19">
                  <c:v>0.89999999999999991</c:v>
                </c:pt>
                <c:pt idx="20">
                  <c:v>0.89499999999999991</c:v>
                </c:pt>
                <c:pt idx="21">
                  <c:v>0.8899999999999999</c:v>
                </c:pt>
                <c:pt idx="22">
                  <c:v>0.8849999999999999</c:v>
                </c:pt>
                <c:pt idx="23">
                  <c:v>0.87999999999999989</c:v>
                </c:pt>
                <c:pt idx="24">
                  <c:v>0.87499999999999989</c:v>
                </c:pt>
                <c:pt idx="25">
                  <c:v>0.86999999999999988</c:v>
                </c:pt>
                <c:pt idx="26">
                  <c:v>0.86499999999999988</c:v>
                </c:pt>
                <c:pt idx="27">
                  <c:v>0.85999999999999988</c:v>
                </c:pt>
                <c:pt idx="28">
                  <c:v>0.85499999999999987</c:v>
                </c:pt>
                <c:pt idx="29">
                  <c:v>0.84999999999999987</c:v>
                </c:pt>
                <c:pt idx="30">
                  <c:v>0.84499999999999986</c:v>
                </c:pt>
                <c:pt idx="31">
                  <c:v>0.83999999999999986</c:v>
                </c:pt>
                <c:pt idx="32">
                  <c:v>0.83499999999999985</c:v>
                </c:pt>
                <c:pt idx="33">
                  <c:v>0.82999999999999985</c:v>
                </c:pt>
                <c:pt idx="34">
                  <c:v>0.82499999999999984</c:v>
                </c:pt>
                <c:pt idx="35">
                  <c:v>0.81999999999999984</c:v>
                </c:pt>
                <c:pt idx="36">
                  <c:v>0.81499999999999984</c:v>
                </c:pt>
                <c:pt idx="37">
                  <c:v>0.80999999999999983</c:v>
                </c:pt>
                <c:pt idx="38">
                  <c:v>0.80499999999999983</c:v>
                </c:pt>
                <c:pt idx="39">
                  <c:v>0.79999999999999982</c:v>
                </c:pt>
                <c:pt idx="40">
                  <c:v>0.79499999999999982</c:v>
                </c:pt>
                <c:pt idx="41">
                  <c:v>0.78999999999999981</c:v>
                </c:pt>
                <c:pt idx="42">
                  <c:v>0.78499999999999981</c:v>
                </c:pt>
                <c:pt idx="43">
                  <c:v>0.7799999999999998</c:v>
                </c:pt>
                <c:pt idx="44">
                  <c:v>0.7749999999999998</c:v>
                </c:pt>
                <c:pt idx="45">
                  <c:v>0.7699999999999998</c:v>
                </c:pt>
                <c:pt idx="46">
                  <c:v>0.76499999999999979</c:v>
                </c:pt>
                <c:pt idx="47">
                  <c:v>0.75999999999999979</c:v>
                </c:pt>
                <c:pt idx="48">
                  <c:v>0.75499999999999978</c:v>
                </c:pt>
                <c:pt idx="49">
                  <c:v>0.74999999999999978</c:v>
                </c:pt>
                <c:pt idx="50">
                  <c:v>0.74499999999999977</c:v>
                </c:pt>
                <c:pt idx="51">
                  <c:v>0.73999999999999977</c:v>
                </c:pt>
                <c:pt idx="52">
                  <c:v>0.73499999999999976</c:v>
                </c:pt>
                <c:pt idx="53">
                  <c:v>0.72999999999999976</c:v>
                </c:pt>
                <c:pt idx="54">
                  <c:v>0.72499999999999976</c:v>
                </c:pt>
                <c:pt idx="55">
                  <c:v>0.71999999999999975</c:v>
                </c:pt>
                <c:pt idx="56">
                  <c:v>0.71499999999999975</c:v>
                </c:pt>
                <c:pt idx="57">
                  <c:v>0.70999999999999974</c:v>
                </c:pt>
                <c:pt idx="58">
                  <c:v>0.70499999999999974</c:v>
                </c:pt>
                <c:pt idx="59">
                  <c:v>0.69999999999999973</c:v>
                </c:pt>
                <c:pt idx="60">
                  <c:v>0.69499999999999973</c:v>
                </c:pt>
                <c:pt idx="61">
                  <c:v>0.68999999999999972</c:v>
                </c:pt>
                <c:pt idx="62">
                  <c:v>0.68499999999999972</c:v>
                </c:pt>
                <c:pt idx="63">
                  <c:v>0.67999999999999972</c:v>
                </c:pt>
                <c:pt idx="64">
                  <c:v>0.67499999999999971</c:v>
                </c:pt>
                <c:pt idx="65">
                  <c:v>0.66999999999999971</c:v>
                </c:pt>
                <c:pt idx="66">
                  <c:v>0.6649999999999997</c:v>
                </c:pt>
                <c:pt idx="67">
                  <c:v>0.6599999999999997</c:v>
                </c:pt>
                <c:pt idx="68">
                  <c:v>0.65499999999999969</c:v>
                </c:pt>
                <c:pt idx="69">
                  <c:v>0.64999999999999969</c:v>
                </c:pt>
                <c:pt idx="70">
                  <c:v>0.64499999999999968</c:v>
                </c:pt>
                <c:pt idx="71">
                  <c:v>0.63999999999999968</c:v>
                </c:pt>
                <c:pt idx="72">
                  <c:v>0.63499999999999968</c:v>
                </c:pt>
                <c:pt idx="73">
                  <c:v>0.62999999999999967</c:v>
                </c:pt>
                <c:pt idx="74">
                  <c:v>0.62499999999999967</c:v>
                </c:pt>
                <c:pt idx="75">
                  <c:v>0.61999999999999966</c:v>
                </c:pt>
                <c:pt idx="76">
                  <c:v>0.61499999999999966</c:v>
                </c:pt>
                <c:pt idx="77">
                  <c:v>0.60999999999999965</c:v>
                </c:pt>
                <c:pt idx="78">
                  <c:v>0.60499999999999965</c:v>
                </c:pt>
                <c:pt idx="79">
                  <c:v>0.59999999999999964</c:v>
                </c:pt>
                <c:pt idx="80">
                  <c:v>0.59499999999999964</c:v>
                </c:pt>
                <c:pt idx="81">
                  <c:v>0.58999999999999964</c:v>
                </c:pt>
                <c:pt idx="82">
                  <c:v>0.58499999999999963</c:v>
                </c:pt>
                <c:pt idx="83">
                  <c:v>0.57999999999999963</c:v>
                </c:pt>
                <c:pt idx="84">
                  <c:v>0.57499999999999962</c:v>
                </c:pt>
                <c:pt idx="85">
                  <c:v>0.56999999999999962</c:v>
                </c:pt>
                <c:pt idx="86">
                  <c:v>0.56499999999999961</c:v>
                </c:pt>
                <c:pt idx="87">
                  <c:v>0.55999999999999961</c:v>
                </c:pt>
                <c:pt idx="88">
                  <c:v>0.5549999999999996</c:v>
                </c:pt>
                <c:pt idx="89">
                  <c:v>0.5499999999999996</c:v>
                </c:pt>
                <c:pt idx="90">
                  <c:v>0.5449999999999996</c:v>
                </c:pt>
                <c:pt idx="91">
                  <c:v>0.53999999999999959</c:v>
                </c:pt>
                <c:pt idx="92">
                  <c:v>0.53499999999999959</c:v>
                </c:pt>
                <c:pt idx="93">
                  <c:v>0.52999999999999958</c:v>
                </c:pt>
                <c:pt idx="94">
                  <c:v>0.52499999999999958</c:v>
                </c:pt>
                <c:pt idx="95">
                  <c:v>0.51999999999999957</c:v>
                </c:pt>
                <c:pt idx="96">
                  <c:v>0.51499999999999957</c:v>
                </c:pt>
                <c:pt idx="97">
                  <c:v>0.50999999999999956</c:v>
                </c:pt>
                <c:pt idx="98">
                  <c:v>0.50499999999999956</c:v>
                </c:pt>
                <c:pt idx="99">
                  <c:v>0.49999999999999956</c:v>
                </c:pt>
              </c:numCache>
            </c:numRef>
          </c:xVal>
          <c:yVal>
            <c:numRef>
              <c:f>WatLimNI!$I$26:$I$125</c:f>
              <c:numCache>
                <c:formatCode>"$"#,##0</c:formatCode>
                <c:ptCount val="100"/>
                <c:pt idx="0">
                  <c:v>275.42957793194506</c:v>
                </c:pt>
                <c:pt idx="1">
                  <c:v>275.42957793194506</c:v>
                </c:pt>
                <c:pt idx="2">
                  <c:v>275.42957793194506</c:v>
                </c:pt>
                <c:pt idx="3">
                  <c:v>275.42957793194506</c:v>
                </c:pt>
                <c:pt idx="4">
                  <c:v>275.42957793194506</c:v>
                </c:pt>
                <c:pt idx="5">
                  <c:v>275.42957793194506</c:v>
                </c:pt>
                <c:pt idx="6">
                  <c:v>275.42957793194506</c:v>
                </c:pt>
                <c:pt idx="7">
                  <c:v>275.42957793194506</c:v>
                </c:pt>
                <c:pt idx="8">
                  <c:v>275.42957793194506</c:v>
                </c:pt>
                <c:pt idx="9">
                  <c:v>275.42957793194506</c:v>
                </c:pt>
                <c:pt idx="10">
                  <c:v>275.42957793194506</c:v>
                </c:pt>
                <c:pt idx="11">
                  <c:v>275.42957793194506</c:v>
                </c:pt>
                <c:pt idx="12">
                  <c:v>275.42957793194506</c:v>
                </c:pt>
                <c:pt idx="13">
                  <c:v>275.42957793194506</c:v>
                </c:pt>
                <c:pt idx="14">
                  <c:v>275.42957793194506</c:v>
                </c:pt>
                <c:pt idx="15">
                  <c:v>275.42957793194506</c:v>
                </c:pt>
                <c:pt idx="16">
                  <c:v>275.42957793194506</c:v>
                </c:pt>
                <c:pt idx="17">
                  <c:v>275.42957793194506</c:v>
                </c:pt>
                <c:pt idx="18">
                  <c:v>275.42957793194506</c:v>
                </c:pt>
                <c:pt idx="19">
                  <c:v>275.42957793194506</c:v>
                </c:pt>
                <c:pt idx="20">
                  <c:v>275.42957793194506</c:v>
                </c:pt>
                <c:pt idx="21">
                  <c:v>275.42957793194506</c:v>
                </c:pt>
                <c:pt idx="22">
                  <c:v>275.42957793194506</c:v>
                </c:pt>
                <c:pt idx="23">
                  <c:v>275.42957793194506</c:v>
                </c:pt>
                <c:pt idx="24">
                  <c:v>275.42957793194506</c:v>
                </c:pt>
                <c:pt idx="25">
                  <c:v>275.42957793194506</c:v>
                </c:pt>
                <c:pt idx="26">
                  <c:v>275.42957793194506</c:v>
                </c:pt>
                <c:pt idx="27">
                  <c:v>275.42957793194506</c:v>
                </c:pt>
                <c:pt idx="28">
                  <c:v>275.42957793194506</c:v>
                </c:pt>
                <c:pt idx="29">
                  <c:v>275.42957793194506</c:v>
                </c:pt>
                <c:pt idx="30">
                  <c:v>275.42957793194506</c:v>
                </c:pt>
                <c:pt idx="31">
                  <c:v>275.42957793194506</c:v>
                </c:pt>
                <c:pt idx="32">
                  <c:v>275.42957793194506</c:v>
                </c:pt>
                <c:pt idx="33">
                  <c:v>275.42957793194506</c:v>
                </c:pt>
                <c:pt idx="34">
                  <c:v>275.42957793194506</c:v>
                </c:pt>
                <c:pt idx="35">
                  <c:v>275.42957793194506</c:v>
                </c:pt>
                <c:pt idx="36">
                  <c:v>275.42957793194506</c:v>
                </c:pt>
                <c:pt idx="37">
                  <c:v>275.42957793194506</c:v>
                </c:pt>
                <c:pt idx="38">
                  <c:v>275.42957793194506</c:v>
                </c:pt>
                <c:pt idx="39">
                  <c:v>275.42957793194506</c:v>
                </c:pt>
                <c:pt idx="40">
                  <c:v>275.42957793194506</c:v>
                </c:pt>
                <c:pt idx="41">
                  <c:v>275.42957793194506</c:v>
                </c:pt>
                <c:pt idx="42">
                  <c:v>275.42957793194506</c:v>
                </c:pt>
                <c:pt idx="43">
                  <c:v>275.42957793194506</c:v>
                </c:pt>
                <c:pt idx="44">
                  <c:v>275.42957793194506</c:v>
                </c:pt>
                <c:pt idx="45">
                  <c:v>275.42957793194506</c:v>
                </c:pt>
                <c:pt idx="46">
                  <c:v>275.42957793194506</c:v>
                </c:pt>
                <c:pt idx="47">
                  <c:v>275.42957793194506</c:v>
                </c:pt>
                <c:pt idx="48">
                  <c:v>275.42957793194506</c:v>
                </c:pt>
                <c:pt idx="49">
                  <c:v>275.42957793194506</c:v>
                </c:pt>
                <c:pt idx="50">
                  <c:v>275.42957793194506</c:v>
                </c:pt>
                <c:pt idx="51">
                  <c:v>275.42957793194506</c:v>
                </c:pt>
                <c:pt idx="52">
                  <c:v>275.42957793194506</c:v>
                </c:pt>
                <c:pt idx="53">
                  <c:v>275.42957793194506</c:v>
                </c:pt>
                <c:pt idx="54">
                  <c:v>275.42957793194506</c:v>
                </c:pt>
                <c:pt idx="55">
                  <c:v>275.42957793194506</c:v>
                </c:pt>
                <c:pt idx="56">
                  <c:v>275.42957793194506</c:v>
                </c:pt>
                <c:pt idx="57">
                  <c:v>275.42957793194506</c:v>
                </c:pt>
                <c:pt idx="58">
                  <c:v>275.42957793194506</c:v>
                </c:pt>
                <c:pt idx="59">
                  <c:v>275.42957793194506</c:v>
                </c:pt>
                <c:pt idx="60">
                  <c:v>275.42957793194506</c:v>
                </c:pt>
                <c:pt idx="61">
                  <c:v>275.42957793194506</c:v>
                </c:pt>
                <c:pt idx="62">
                  <c:v>275.42957793194506</c:v>
                </c:pt>
                <c:pt idx="63">
                  <c:v>275.42957793194506</c:v>
                </c:pt>
                <c:pt idx="64">
                  <c:v>275.42957793194506</c:v>
                </c:pt>
                <c:pt idx="65">
                  <c:v>275.42957793194506</c:v>
                </c:pt>
                <c:pt idx="66">
                  <c:v>275.42957793194506</c:v>
                </c:pt>
                <c:pt idx="67">
                  <c:v>275.42957793194506</c:v>
                </c:pt>
                <c:pt idx="68">
                  <c:v>275.42957793194506</c:v>
                </c:pt>
                <c:pt idx="69">
                  <c:v>275.42957793194506</c:v>
                </c:pt>
                <c:pt idx="70">
                  <c:v>275.42957793194506</c:v>
                </c:pt>
                <c:pt idx="71">
                  <c:v>275.42957793194506</c:v>
                </c:pt>
                <c:pt idx="72">
                  <c:v>275.42957793194506</c:v>
                </c:pt>
                <c:pt idx="73">
                  <c:v>275.42957793194506</c:v>
                </c:pt>
                <c:pt idx="74">
                  <c:v>275.42957793194506</c:v>
                </c:pt>
                <c:pt idx="75">
                  <c:v>275.42957793194506</c:v>
                </c:pt>
                <c:pt idx="76">
                  <c:v>275.42957793194506</c:v>
                </c:pt>
                <c:pt idx="77">
                  <c:v>275.42957793194506</c:v>
                </c:pt>
                <c:pt idx="78">
                  <c:v>275.42957793194506</c:v>
                </c:pt>
                <c:pt idx="79">
                  <c:v>275.42957793194506</c:v>
                </c:pt>
                <c:pt idx="80">
                  <c:v>275.42957793194506</c:v>
                </c:pt>
                <c:pt idx="81">
                  <c:v>275.42957793194506</c:v>
                </c:pt>
                <c:pt idx="82">
                  <c:v>275.42957793194506</c:v>
                </c:pt>
                <c:pt idx="83">
                  <c:v>275.42957793194506</c:v>
                </c:pt>
                <c:pt idx="84">
                  <c:v>275.42957793194506</c:v>
                </c:pt>
                <c:pt idx="85">
                  <c:v>275.42957793194506</c:v>
                </c:pt>
                <c:pt idx="86">
                  <c:v>275.42957793194506</c:v>
                </c:pt>
                <c:pt idx="87">
                  <c:v>275.42957793194506</c:v>
                </c:pt>
                <c:pt idx="88">
                  <c:v>275.42957793194506</c:v>
                </c:pt>
                <c:pt idx="89">
                  <c:v>275.42957793194506</c:v>
                </c:pt>
                <c:pt idx="90">
                  <c:v>275.42957793194506</c:v>
                </c:pt>
                <c:pt idx="91">
                  <c:v>275.42957793194506</c:v>
                </c:pt>
                <c:pt idx="92">
                  <c:v>275.42957793194506</c:v>
                </c:pt>
                <c:pt idx="93">
                  <c:v>275.42957793194506</c:v>
                </c:pt>
                <c:pt idx="94">
                  <c:v>275.42957793194506</c:v>
                </c:pt>
                <c:pt idx="95">
                  <c:v>275.42957793194506</c:v>
                </c:pt>
                <c:pt idx="96">
                  <c:v>275.42957793194506</c:v>
                </c:pt>
                <c:pt idx="97">
                  <c:v>275.42957793194506</c:v>
                </c:pt>
                <c:pt idx="98">
                  <c:v>275.42957793194506</c:v>
                </c:pt>
                <c:pt idx="99">
                  <c:v>275.42957793194506</c:v>
                </c:pt>
              </c:numCache>
            </c:numRef>
          </c:yVal>
          <c:smooth val="1"/>
          <c:extLst>
            <c:ext xmlns:c16="http://schemas.microsoft.com/office/drawing/2014/chart" uri="{C3380CC4-5D6E-409C-BE32-E72D297353CC}">
              <c16:uniqueId val="{00000000-E27F-40F4-860D-A44357A8847D}"/>
            </c:ext>
          </c:extLst>
        </c:ser>
        <c:dLbls>
          <c:showLegendKey val="0"/>
          <c:showVal val="0"/>
          <c:showCatName val="0"/>
          <c:showSerName val="0"/>
          <c:showPercent val="0"/>
          <c:showBubbleSize val="0"/>
        </c:dLbls>
        <c:axId val="54024832"/>
        <c:axId val="54043776"/>
      </c:scatterChart>
      <c:scatterChart>
        <c:scatterStyle val="smoothMarker"/>
        <c:varyColors val="0"/>
        <c:ser>
          <c:idx val="4"/>
          <c:order val="7"/>
          <c:tx>
            <c:strRef>
              <c:f>WatLimNI!$J$22</c:f>
              <c:strCache>
                <c:ptCount val="1"/>
                <c:pt idx="0">
                  <c:v>Ai</c:v>
                </c:pt>
              </c:strCache>
            </c:strRef>
          </c:tx>
          <c:spPr>
            <a:ln>
              <a:solidFill>
                <a:schemeClr val="tx1"/>
              </a:solidFill>
              <a:prstDash val="sysDot"/>
            </a:ln>
          </c:spPr>
          <c:marker>
            <c:symbol val="none"/>
          </c:marker>
          <c:xVal>
            <c:numRef>
              <c:f>WatLimNI!$A$25:$A$125</c:f>
              <c:numCache>
                <c:formatCode>General</c:formatCode>
                <c:ptCount val="101"/>
                <c:pt idx="0">
                  <c:v>1</c:v>
                </c:pt>
                <c:pt idx="1">
                  <c:v>0.995</c:v>
                </c:pt>
                <c:pt idx="2">
                  <c:v>0.99</c:v>
                </c:pt>
                <c:pt idx="3">
                  <c:v>0.98499999999999999</c:v>
                </c:pt>
                <c:pt idx="4">
                  <c:v>0.98</c:v>
                </c:pt>
                <c:pt idx="5">
                  <c:v>0.97499999999999998</c:v>
                </c:pt>
                <c:pt idx="6">
                  <c:v>0.97</c:v>
                </c:pt>
                <c:pt idx="7">
                  <c:v>0.96499999999999997</c:v>
                </c:pt>
                <c:pt idx="8">
                  <c:v>0.96</c:v>
                </c:pt>
                <c:pt idx="9">
                  <c:v>0.95499999999999996</c:v>
                </c:pt>
                <c:pt idx="10">
                  <c:v>0.95</c:v>
                </c:pt>
                <c:pt idx="11">
                  <c:v>0.94499999999999995</c:v>
                </c:pt>
                <c:pt idx="12">
                  <c:v>0.94</c:v>
                </c:pt>
                <c:pt idx="13">
                  <c:v>0.93499999999999994</c:v>
                </c:pt>
                <c:pt idx="14">
                  <c:v>0.92999999999999994</c:v>
                </c:pt>
                <c:pt idx="15">
                  <c:v>0.92499999999999993</c:v>
                </c:pt>
                <c:pt idx="16">
                  <c:v>0.91999999999999993</c:v>
                </c:pt>
                <c:pt idx="17">
                  <c:v>0.91499999999999992</c:v>
                </c:pt>
                <c:pt idx="18">
                  <c:v>0.90999999999999992</c:v>
                </c:pt>
                <c:pt idx="19">
                  <c:v>0.90499999999999992</c:v>
                </c:pt>
                <c:pt idx="20">
                  <c:v>0.89999999999999991</c:v>
                </c:pt>
                <c:pt idx="21">
                  <c:v>0.89499999999999991</c:v>
                </c:pt>
                <c:pt idx="22">
                  <c:v>0.8899999999999999</c:v>
                </c:pt>
                <c:pt idx="23">
                  <c:v>0.8849999999999999</c:v>
                </c:pt>
                <c:pt idx="24">
                  <c:v>0.87999999999999989</c:v>
                </c:pt>
                <c:pt idx="25">
                  <c:v>0.87499999999999989</c:v>
                </c:pt>
                <c:pt idx="26">
                  <c:v>0.86999999999999988</c:v>
                </c:pt>
                <c:pt idx="27">
                  <c:v>0.86499999999999988</c:v>
                </c:pt>
                <c:pt idx="28">
                  <c:v>0.85999999999999988</c:v>
                </c:pt>
                <c:pt idx="29">
                  <c:v>0.85499999999999987</c:v>
                </c:pt>
                <c:pt idx="30">
                  <c:v>0.84999999999999987</c:v>
                </c:pt>
                <c:pt idx="31">
                  <c:v>0.84499999999999986</c:v>
                </c:pt>
                <c:pt idx="32">
                  <c:v>0.83999999999999986</c:v>
                </c:pt>
                <c:pt idx="33">
                  <c:v>0.83499999999999985</c:v>
                </c:pt>
                <c:pt idx="34">
                  <c:v>0.82999999999999985</c:v>
                </c:pt>
                <c:pt idx="35">
                  <c:v>0.82499999999999984</c:v>
                </c:pt>
                <c:pt idx="36">
                  <c:v>0.81999999999999984</c:v>
                </c:pt>
                <c:pt idx="37">
                  <c:v>0.81499999999999984</c:v>
                </c:pt>
                <c:pt idx="38">
                  <c:v>0.80999999999999983</c:v>
                </c:pt>
                <c:pt idx="39">
                  <c:v>0.80499999999999983</c:v>
                </c:pt>
                <c:pt idx="40">
                  <c:v>0.79999999999999982</c:v>
                </c:pt>
                <c:pt idx="41">
                  <c:v>0.79499999999999982</c:v>
                </c:pt>
                <c:pt idx="42">
                  <c:v>0.78999999999999981</c:v>
                </c:pt>
                <c:pt idx="43">
                  <c:v>0.78499999999999981</c:v>
                </c:pt>
                <c:pt idx="44">
                  <c:v>0.7799999999999998</c:v>
                </c:pt>
                <c:pt idx="45">
                  <c:v>0.7749999999999998</c:v>
                </c:pt>
                <c:pt idx="46">
                  <c:v>0.7699999999999998</c:v>
                </c:pt>
                <c:pt idx="47">
                  <c:v>0.76499999999999979</c:v>
                </c:pt>
                <c:pt idx="48">
                  <c:v>0.75999999999999979</c:v>
                </c:pt>
                <c:pt idx="49">
                  <c:v>0.75499999999999978</c:v>
                </c:pt>
                <c:pt idx="50">
                  <c:v>0.74999999999999978</c:v>
                </c:pt>
                <c:pt idx="51">
                  <c:v>0.74499999999999977</c:v>
                </c:pt>
                <c:pt idx="52">
                  <c:v>0.73999999999999977</c:v>
                </c:pt>
                <c:pt idx="53">
                  <c:v>0.73499999999999976</c:v>
                </c:pt>
                <c:pt idx="54">
                  <c:v>0.72999999999999976</c:v>
                </c:pt>
                <c:pt idx="55">
                  <c:v>0.72499999999999976</c:v>
                </c:pt>
                <c:pt idx="56">
                  <c:v>0.71999999999999975</c:v>
                </c:pt>
                <c:pt idx="57">
                  <c:v>0.71499999999999975</c:v>
                </c:pt>
                <c:pt idx="58">
                  <c:v>0.70999999999999974</c:v>
                </c:pt>
                <c:pt idx="59">
                  <c:v>0.70499999999999974</c:v>
                </c:pt>
                <c:pt idx="60">
                  <c:v>0.69999999999999973</c:v>
                </c:pt>
                <c:pt idx="61">
                  <c:v>0.69499999999999973</c:v>
                </c:pt>
                <c:pt idx="62">
                  <c:v>0.68999999999999972</c:v>
                </c:pt>
                <c:pt idx="63">
                  <c:v>0.68499999999999972</c:v>
                </c:pt>
                <c:pt idx="64">
                  <c:v>0.67999999999999972</c:v>
                </c:pt>
                <c:pt idx="65">
                  <c:v>0.67499999999999971</c:v>
                </c:pt>
                <c:pt idx="66">
                  <c:v>0.66999999999999971</c:v>
                </c:pt>
                <c:pt idx="67">
                  <c:v>0.6649999999999997</c:v>
                </c:pt>
                <c:pt idx="68">
                  <c:v>0.6599999999999997</c:v>
                </c:pt>
                <c:pt idx="69">
                  <c:v>0.65499999999999969</c:v>
                </c:pt>
                <c:pt idx="70">
                  <c:v>0.64999999999999969</c:v>
                </c:pt>
                <c:pt idx="71">
                  <c:v>0.64499999999999968</c:v>
                </c:pt>
                <c:pt idx="72">
                  <c:v>0.63999999999999968</c:v>
                </c:pt>
                <c:pt idx="73">
                  <c:v>0.63499999999999968</c:v>
                </c:pt>
                <c:pt idx="74">
                  <c:v>0.62999999999999967</c:v>
                </c:pt>
                <c:pt idx="75">
                  <c:v>0.62499999999999967</c:v>
                </c:pt>
                <c:pt idx="76">
                  <c:v>0.61999999999999966</c:v>
                </c:pt>
                <c:pt idx="77">
                  <c:v>0.61499999999999966</c:v>
                </c:pt>
                <c:pt idx="78">
                  <c:v>0.60999999999999965</c:v>
                </c:pt>
                <c:pt idx="79">
                  <c:v>0.60499999999999965</c:v>
                </c:pt>
                <c:pt idx="80">
                  <c:v>0.59999999999999964</c:v>
                </c:pt>
                <c:pt idx="81">
                  <c:v>0.59499999999999964</c:v>
                </c:pt>
                <c:pt idx="82">
                  <c:v>0.58999999999999964</c:v>
                </c:pt>
                <c:pt idx="83">
                  <c:v>0.58499999999999963</c:v>
                </c:pt>
                <c:pt idx="84">
                  <c:v>0.57999999999999963</c:v>
                </c:pt>
                <c:pt idx="85">
                  <c:v>0.57499999999999962</c:v>
                </c:pt>
                <c:pt idx="86">
                  <c:v>0.56999999999999962</c:v>
                </c:pt>
                <c:pt idx="87">
                  <c:v>0.56499999999999961</c:v>
                </c:pt>
                <c:pt idx="88">
                  <c:v>0.55999999999999961</c:v>
                </c:pt>
                <c:pt idx="89">
                  <c:v>0.5549999999999996</c:v>
                </c:pt>
                <c:pt idx="90">
                  <c:v>0.5499999999999996</c:v>
                </c:pt>
                <c:pt idx="91">
                  <c:v>0.5449999999999996</c:v>
                </c:pt>
                <c:pt idx="92">
                  <c:v>0.53999999999999959</c:v>
                </c:pt>
                <c:pt idx="93">
                  <c:v>0.53499999999999959</c:v>
                </c:pt>
                <c:pt idx="94">
                  <c:v>0.52999999999999958</c:v>
                </c:pt>
                <c:pt idx="95">
                  <c:v>0.52499999999999958</c:v>
                </c:pt>
                <c:pt idx="96">
                  <c:v>0.51999999999999957</c:v>
                </c:pt>
                <c:pt idx="97">
                  <c:v>0.51499999999999957</c:v>
                </c:pt>
                <c:pt idx="98">
                  <c:v>0.50999999999999956</c:v>
                </c:pt>
                <c:pt idx="99">
                  <c:v>0.50499999999999956</c:v>
                </c:pt>
                <c:pt idx="100">
                  <c:v>0.49999999999999956</c:v>
                </c:pt>
              </c:numCache>
            </c:numRef>
          </c:xVal>
          <c:yVal>
            <c:numRef>
              <c:f>WatLimNI!$J$25:$J$125</c:f>
              <c:numCache>
                <c:formatCode>0.000</c:formatCode>
                <c:ptCount val="101"/>
                <c:pt idx="0">
                  <c:v>0.57692307692307687</c:v>
                </c:pt>
                <c:pt idx="1">
                  <c:v>0.58826570929631317</c:v>
                </c:pt>
                <c:pt idx="2">
                  <c:v>0.59988912208450473</c:v>
                </c:pt>
                <c:pt idx="3">
                  <c:v>0.61180383212595602</c:v>
                </c:pt>
                <c:pt idx="4">
                  <c:v>0.62402088772845976</c:v>
                </c:pt>
                <c:pt idx="5">
                  <c:v>0.63655190266632133</c:v>
                </c:pt>
                <c:pt idx="6">
                  <c:v>0.64940909282079307</c:v>
                </c:pt>
                <c:pt idx="7">
                  <c:v>0.66260531570685677</c:v>
                </c:pt>
                <c:pt idx="8">
                  <c:v>0.6761541131551545</c:v>
                </c:pt>
                <c:pt idx="9">
                  <c:v>0.6900697574468555</c:v>
                </c:pt>
                <c:pt idx="10">
                  <c:v>0.70436730123180291</c:v>
                </c:pt>
                <c:pt idx="11">
                  <c:v>0.71906263159691819</c:v>
                </c:pt>
                <c:pt idx="12">
                  <c:v>0.73417252869307681</c:v>
                </c:pt>
                <c:pt idx="13">
                  <c:v>0.74971472937522787</c:v>
                </c:pt>
                <c:pt idx="14">
                  <c:v>0.76570799636311426</c:v>
                </c:pt>
                <c:pt idx="15">
                  <c:v>0.78217219348950418</c:v>
                </c:pt>
                <c:pt idx="16">
                  <c:v>0.7991283676703651</c:v>
                </c:pt>
                <c:pt idx="17">
                  <c:v>0.81659883830811342</c:v>
                </c:pt>
                <c:pt idx="18">
                  <c:v>0.83460729492638419</c:v>
                </c:pt>
                <c:pt idx="19">
                  <c:v>0.85317890393429396</c:v>
                </c:pt>
                <c:pt idx="20">
                  <c:v>0.87234042553191515</c:v>
                </c:pt>
                <c:pt idx="21">
                  <c:v>0.89212034189886646</c:v>
                </c:pt>
                <c:pt idx="22">
                  <c:v>0.91254899795726885</c:v>
                </c:pt>
                <c:pt idx="23">
                  <c:v>0.93365875617201455</c:v>
                </c:pt>
                <c:pt idx="24">
                  <c:v>0.95548416704910533</c:v>
                </c:pt>
                <c:pt idx="25">
                  <c:v>0.97806215722120715</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numCache>
            </c:numRef>
          </c:yVal>
          <c:smooth val="1"/>
          <c:extLst>
            <c:ext xmlns:c16="http://schemas.microsoft.com/office/drawing/2014/chart" uri="{C3380CC4-5D6E-409C-BE32-E72D297353CC}">
              <c16:uniqueId val="{00000005-53F4-4274-BBC9-42ACFEC67C29}"/>
            </c:ext>
          </c:extLst>
        </c:ser>
        <c:dLbls>
          <c:showLegendKey val="0"/>
          <c:showVal val="0"/>
          <c:showCatName val="0"/>
          <c:showSerName val="0"/>
          <c:showPercent val="0"/>
          <c:showBubbleSize val="0"/>
        </c:dLbls>
        <c:axId val="698553775"/>
        <c:axId val="698553359"/>
      </c:scatterChart>
      <c:valAx>
        <c:axId val="54024832"/>
        <c:scaling>
          <c:orientation val="minMax"/>
          <c:max val="1"/>
          <c:min val="0.5"/>
        </c:scaling>
        <c:delete val="0"/>
        <c:axPos val="b"/>
        <c:title>
          <c:tx>
            <c:rich>
              <a:bodyPr/>
              <a:lstStyle/>
              <a:p>
                <a:pPr>
                  <a:defRPr sz="1400"/>
                </a:pPr>
                <a:r>
                  <a:rPr lang="en-US" sz="1400"/>
                  <a:t>Relative ET, </a:t>
                </a:r>
                <a:r>
                  <a:rPr lang="en-US" sz="1400" i="1"/>
                  <a:t>x</a:t>
                </a:r>
              </a:p>
            </c:rich>
          </c:tx>
          <c:layout>
            <c:manualLayout>
              <c:xMode val="edge"/>
              <c:yMode val="edge"/>
              <c:x val="0.48801741549751959"/>
              <c:y val="0.92363885109262189"/>
            </c:manualLayout>
          </c:layout>
          <c:overlay val="0"/>
        </c:title>
        <c:numFmt formatCode="General" sourceLinked="1"/>
        <c:majorTickMark val="out"/>
        <c:minorTickMark val="out"/>
        <c:tickLblPos val="nextTo"/>
        <c:txPr>
          <a:bodyPr/>
          <a:lstStyle/>
          <a:p>
            <a:pPr>
              <a:defRPr sz="1100" b="1"/>
            </a:pPr>
            <a:endParaRPr lang="en-US"/>
          </a:p>
        </c:txPr>
        <c:crossAx val="54043776"/>
        <c:crossesAt val="-200"/>
        <c:crossBetween val="midCat"/>
        <c:majorUnit val="0.1"/>
        <c:minorUnit val="5.000000000000001E-2"/>
      </c:valAx>
      <c:valAx>
        <c:axId val="54043776"/>
        <c:scaling>
          <c:orientation val="minMax"/>
          <c:min val="-200"/>
        </c:scaling>
        <c:delete val="0"/>
        <c:axPos val="l"/>
        <c:majorGridlines/>
        <c:title>
          <c:tx>
            <c:rich>
              <a:bodyPr rot="-5400000" vert="horz"/>
              <a:lstStyle/>
              <a:p>
                <a:pPr>
                  <a:defRPr sz="1400"/>
                </a:pPr>
                <a:r>
                  <a:rPr lang="en-US" sz="1400"/>
                  <a:t>Net Income ($/ha)</a:t>
                </a:r>
              </a:p>
            </c:rich>
          </c:tx>
          <c:overlay val="0"/>
        </c:title>
        <c:numFmt formatCode="&quot;$&quot;#,##0" sourceLinked="1"/>
        <c:majorTickMark val="out"/>
        <c:minorTickMark val="none"/>
        <c:tickLblPos val="nextTo"/>
        <c:txPr>
          <a:bodyPr/>
          <a:lstStyle/>
          <a:p>
            <a:pPr>
              <a:defRPr sz="1050" b="1"/>
            </a:pPr>
            <a:endParaRPr lang="en-US"/>
          </a:p>
        </c:txPr>
        <c:crossAx val="54024832"/>
        <c:crossesAt val="-200"/>
        <c:crossBetween val="midCat"/>
      </c:valAx>
      <c:valAx>
        <c:axId val="698553359"/>
        <c:scaling>
          <c:orientation val="minMax"/>
          <c:max val="1"/>
        </c:scaling>
        <c:delete val="0"/>
        <c:axPos val="r"/>
        <c:title>
          <c:tx>
            <c:rich>
              <a:bodyPr/>
              <a:lstStyle/>
              <a:p>
                <a:pPr>
                  <a:defRPr sz="1400"/>
                </a:pPr>
                <a:r>
                  <a:rPr lang="en-US" sz="1400"/>
                  <a:t>Relative Area Irrigated, Ai</a:t>
                </a:r>
              </a:p>
            </c:rich>
          </c:tx>
          <c:layout>
            <c:manualLayout>
              <c:xMode val="edge"/>
              <c:yMode val="edge"/>
              <c:x val="0.94853666865479447"/>
              <c:y val="0.19974251562925494"/>
            </c:manualLayout>
          </c:layout>
          <c:overlay val="0"/>
        </c:title>
        <c:numFmt formatCode="0.0" sourceLinked="0"/>
        <c:majorTickMark val="out"/>
        <c:minorTickMark val="none"/>
        <c:tickLblPos val="nextTo"/>
        <c:txPr>
          <a:bodyPr/>
          <a:lstStyle/>
          <a:p>
            <a:pPr>
              <a:defRPr sz="1050" b="1"/>
            </a:pPr>
            <a:endParaRPr lang="en-US"/>
          </a:p>
        </c:txPr>
        <c:crossAx val="698553775"/>
        <c:crosses val="max"/>
        <c:crossBetween val="midCat"/>
        <c:majorUnit val="0.2"/>
      </c:valAx>
      <c:valAx>
        <c:axId val="698553775"/>
        <c:scaling>
          <c:orientation val="minMax"/>
        </c:scaling>
        <c:delete val="1"/>
        <c:axPos val="b"/>
        <c:numFmt formatCode="General" sourceLinked="1"/>
        <c:majorTickMark val="out"/>
        <c:minorTickMark val="none"/>
        <c:tickLblPos val="nextTo"/>
        <c:crossAx val="698553359"/>
        <c:crosses val="autoZero"/>
        <c:crossBetween val="midCat"/>
      </c:valAx>
      <c:spPr>
        <a:ln>
          <a:solidFill>
            <a:schemeClr val="tx1"/>
          </a:solidFill>
        </a:ln>
      </c:spPr>
    </c:plotArea>
    <c:legend>
      <c:legendPos val="r"/>
      <c:legendEntry>
        <c:idx val="3"/>
        <c:delete val="1"/>
      </c:legendEntry>
      <c:layout>
        <c:manualLayout>
          <c:xMode val="edge"/>
          <c:yMode val="edge"/>
          <c:x val="0.17283361929755819"/>
          <c:y val="6.9020748849811783E-2"/>
          <c:w val="0.29292465170279419"/>
          <c:h val="0.31983313344110131"/>
        </c:manualLayout>
      </c:layout>
      <c:overlay val="0"/>
      <c:spPr>
        <a:solidFill>
          <a:schemeClr val="bg1"/>
        </a:solidFill>
        <a:ln>
          <a:solidFill>
            <a:schemeClr val="tx1"/>
          </a:solidFill>
        </a:ln>
      </c:spPr>
      <c:txPr>
        <a:bodyPr/>
        <a:lstStyle/>
        <a:p>
          <a:pPr>
            <a:defRPr sz="1050" b="1"/>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01062529142906"/>
          <c:y val="5.1400554097404488E-2"/>
          <c:w val="0.73743944597593725"/>
          <c:h val="0.79856800015867035"/>
        </c:manualLayout>
      </c:layout>
      <c:scatterChart>
        <c:scatterStyle val="smoothMarker"/>
        <c:varyColors val="0"/>
        <c:ser>
          <c:idx val="0"/>
          <c:order val="0"/>
          <c:tx>
            <c:v>NI</c:v>
          </c:tx>
          <c:spPr>
            <a:ln w="34925">
              <a:solidFill>
                <a:schemeClr val="tx1"/>
              </a:solidFill>
            </a:ln>
          </c:spPr>
          <c:marker>
            <c:symbol val="none"/>
          </c:marker>
          <c:xVal>
            <c:numRef>
              <c:f>WatLimNI!$J$26:$J$125</c:f>
              <c:numCache>
                <c:formatCode>0.000</c:formatCode>
                <c:ptCount val="100"/>
                <c:pt idx="0">
                  <c:v>0.58826570929631317</c:v>
                </c:pt>
                <c:pt idx="1">
                  <c:v>0.59988912208450473</c:v>
                </c:pt>
                <c:pt idx="2">
                  <c:v>0.61180383212595602</c:v>
                </c:pt>
                <c:pt idx="3">
                  <c:v>0.62402088772845976</c:v>
                </c:pt>
                <c:pt idx="4">
                  <c:v>0.63655190266632133</c:v>
                </c:pt>
                <c:pt idx="5">
                  <c:v>0.64940909282079307</c:v>
                </c:pt>
                <c:pt idx="6">
                  <c:v>0.66260531570685677</c:v>
                </c:pt>
                <c:pt idx="7">
                  <c:v>0.6761541131551545</c:v>
                </c:pt>
                <c:pt idx="8">
                  <c:v>0.6900697574468555</c:v>
                </c:pt>
                <c:pt idx="9">
                  <c:v>0.70436730123180291</c:v>
                </c:pt>
                <c:pt idx="10">
                  <c:v>0.71906263159691819</c:v>
                </c:pt>
                <c:pt idx="11">
                  <c:v>0.73417252869307681</c:v>
                </c:pt>
                <c:pt idx="12">
                  <c:v>0.74971472937522787</c:v>
                </c:pt>
                <c:pt idx="13">
                  <c:v>0.76570799636311426</c:v>
                </c:pt>
                <c:pt idx="14">
                  <c:v>0.78217219348950418</c:v>
                </c:pt>
                <c:pt idx="15">
                  <c:v>0.7991283676703651</c:v>
                </c:pt>
                <c:pt idx="16">
                  <c:v>0.81659883830811342</c:v>
                </c:pt>
                <c:pt idx="17">
                  <c:v>0.83460729492638419</c:v>
                </c:pt>
                <c:pt idx="18">
                  <c:v>0.85317890393429396</c:v>
                </c:pt>
                <c:pt idx="19">
                  <c:v>0.87234042553191515</c:v>
                </c:pt>
                <c:pt idx="20">
                  <c:v>0.89212034189886646</c:v>
                </c:pt>
                <c:pt idx="21">
                  <c:v>0.91254899795726885</c:v>
                </c:pt>
                <c:pt idx="22">
                  <c:v>0.93365875617201455</c:v>
                </c:pt>
                <c:pt idx="23">
                  <c:v>0.95548416704910533</c:v>
                </c:pt>
                <c:pt idx="24">
                  <c:v>0.97806215722120715</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Cache>
            </c:numRef>
          </c:xVal>
          <c:yVal>
            <c:numRef>
              <c:f>WatLimNI!$N$26:$N$125</c:f>
              <c:numCache>
                <c:formatCode>"$"#,##0</c:formatCode>
                <c:ptCount val="100"/>
                <c:pt idx="0">
                  <c:v>617.30483782577255</c:v>
                </c:pt>
                <c:pt idx="1">
                  <c:v>617.77868256480372</c:v>
                </c:pt>
                <c:pt idx="2">
                  <c:v>618.13754500999153</c:v>
                </c:pt>
                <c:pt idx="3">
                  <c:v>618.37701745101458</c:v>
                </c:pt>
                <c:pt idx="4">
                  <c:v>618.49246612664217</c:v>
                </c:pt>
                <c:pt idx="5">
                  <c:v>618.47901657169962</c:v>
                </c:pt>
                <c:pt idx="6">
                  <c:v>618.33153780965529</c:v>
                </c:pt>
                <c:pt idx="7">
                  <c:v>618.04462528332988</c:v>
                </c:pt>
                <c:pt idx="8">
                  <c:v>617.61258240462223</c:v>
                </c:pt>
                <c:pt idx="9">
                  <c:v>617.0294005911303</c:v>
                </c:pt>
                <c:pt idx="10">
                  <c:v>616.28873764290188</c:v>
                </c:pt>
                <c:pt idx="11">
                  <c:v>615.38389429603774</c:v>
                </c:pt>
                <c:pt idx="12">
                  <c:v>614.30778877127796</c:v>
                </c:pt>
                <c:pt idx="13">
                  <c:v>613.05292911464062</c:v>
                </c:pt>
                <c:pt idx="14">
                  <c:v>611.61138310338038</c:v>
                </c:pt>
                <c:pt idx="15">
                  <c:v>609.9747454635334</c:v>
                </c:pt>
                <c:pt idx="16">
                  <c:v>608.13410211462246</c:v>
                </c:pt>
                <c:pt idx="17">
                  <c:v>606.07999112219227</c:v>
                </c:pt>
                <c:pt idx="18">
                  <c:v>603.80235999902391</c:v>
                </c:pt>
                <c:pt idx="19">
                  <c:v>601.29051895039527</c:v>
                </c:pt>
                <c:pt idx="20">
                  <c:v>598.53308960668926</c:v>
                </c:pt>
                <c:pt idx="21">
                  <c:v>595.51794872690107</c:v>
                </c:pt>
                <c:pt idx="22">
                  <c:v>592.23216628795228</c:v>
                </c:pt>
                <c:pt idx="23">
                  <c:v>588.66193729558995</c:v>
                </c:pt>
                <c:pt idx="24">
                  <c:v>584.79250656129693</c:v>
                </c:pt>
                <c:pt idx="25">
                  <c:v>580.17162266849368</c:v>
                </c:pt>
                <c:pt idx="26">
                  <c:v>568.57643325192385</c:v>
                </c:pt>
                <c:pt idx="27">
                  <c:v>556.94655793803895</c:v>
                </c:pt>
                <c:pt idx="28">
                  <c:v>545.28261939065942</c:v>
                </c:pt>
                <c:pt idx="29">
                  <c:v>533.58522534733902</c:v>
                </c:pt>
                <c:pt idx="30">
                  <c:v>521.85496906260255</c:v>
                </c:pt>
                <c:pt idx="31">
                  <c:v>510.09242973545292</c:v>
                </c:pt>
                <c:pt idx="32">
                  <c:v>498.29817292181542</c:v>
                </c:pt>
                <c:pt idx="33">
                  <c:v>486.47275093251528</c:v>
                </c:pt>
                <c:pt idx="34">
                  <c:v>474.61670321738848</c:v>
                </c:pt>
                <c:pt idx="35">
                  <c:v>462.73055673608133</c:v>
                </c:pt>
                <c:pt idx="36">
                  <c:v>450.81482631607309</c:v>
                </c:pt>
                <c:pt idx="37">
                  <c:v>438.87001499843791</c:v>
                </c:pt>
                <c:pt idx="38">
                  <c:v>426.89661437182008</c:v>
                </c:pt>
                <c:pt idx="39">
                  <c:v>414.8951048951044</c:v>
                </c:pt>
                <c:pt idx="40">
                  <c:v>402.86595620921298</c:v>
                </c:pt>
                <c:pt idx="41">
                  <c:v>390.80962743845976</c:v>
                </c:pt>
                <c:pt idx="42">
                  <c:v>378.72656748186273</c:v>
                </c:pt>
                <c:pt idx="43">
                  <c:v>366.61721529480792</c:v>
                </c:pt>
                <c:pt idx="44">
                  <c:v>354.48200016143278</c:v>
                </c:pt>
                <c:pt idx="45">
                  <c:v>342.32134195808021</c:v>
                </c:pt>
                <c:pt idx="46">
                  <c:v>330.1356514081674</c:v>
                </c:pt>
                <c:pt idx="47">
                  <c:v>317.92533032879192</c:v>
                </c:pt>
                <c:pt idx="48">
                  <c:v>305.69077186938398</c:v>
                </c:pt>
                <c:pt idx="49">
                  <c:v>293.43236074270476</c:v>
                </c:pt>
                <c:pt idx="50">
                  <c:v>281.15047344847562</c:v>
                </c:pt>
                <c:pt idx="51">
                  <c:v>268.84547848990292</c:v>
                </c:pt>
                <c:pt idx="52">
                  <c:v>256.51773658337333</c:v>
                </c:pt>
                <c:pt idx="53">
                  <c:v>244.16760086155796</c:v>
                </c:pt>
                <c:pt idx="54">
                  <c:v>231.79541707016983</c:v>
                </c:pt>
                <c:pt idx="55">
                  <c:v>219.40152375860407</c:v>
                </c:pt>
                <c:pt idx="56">
                  <c:v>206.98625246468112</c:v>
                </c:pt>
                <c:pt idx="57">
                  <c:v>194.5499278937059</c:v>
                </c:pt>
                <c:pt idx="58">
                  <c:v>182.09286809203877</c:v>
                </c:pt>
                <c:pt idx="59">
                  <c:v>169.61538461538396</c:v>
                </c:pt>
                <c:pt idx="60">
                  <c:v>157.1177826919718</c:v>
                </c:pt>
                <c:pt idx="61">
                  <c:v>144.60036138081989</c:v>
                </c:pt>
                <c:pt idx="62">
                  <c:v>132.06341372524207</c:v>
                </c:pt>
                <c:pt idx="63">
                  <c:v>119.50722690177213</c:v>
                </c:pt>
                <c:pt idx="64">
                  <c:v>106.93208236466194</c:v>
                </c:pt>
                <c:pt idx="65">
                  <c:v>94.338255986099966</c:v>
                </c:pt>
                <c:pt idx="66">
                  <c:v>81.726018192305446</c:v>
                </c:pt>
                <c:pt idx="67">
                  <c:v>69.095634095633386</c:v>
                </c:pt>
                <c:pt idx="68">
                  <c:v>56.44736362282606</c:v>
                </c:pt>
                <c:pt idx="69">
                  <c:v>43.781461639542158</c:v>
                </c:pt>
                <c:pt idx="70">
                  <c:v>31.098178071288658</c:v>
                </c:pt>
                <c:pt idx="71">
                  <c:v>18.397758020872743</c:v>
                </c:pt>
                <c:pt idx="72">
                  <c:v>5.6804418824953018</c:v>
                </c:pt>
                <c:pt idx="73">
                  <c:v>-7.0535345474095266</c:v>
                </c:pt>
                <c:pt idx="74">
                  <c:v>-19.803939962477443</c:v>
                </c:pt>
                <c:pt idx="75">
                  <c:v>-32.570547441757526</c:v>
                </c:pt>
                <c:pt idx="76">
                  <c:v>-45.353134347997184</c:v>
                </c:pt>
                <c:pt idx="77">
                  <c:v>-58.151482228776445</c:v>
                </c:pt>
                <c:pt idx="78">
                  <c:v>-70.965376720390054</c:v>
                </c:pt>
                <c:pt idx="79">
                  <c:v>-83.794607454402239</c:v>
                </c:pt>
                <c:pt idx="80">
                  <c:v>-96.638967966777273</c:v>
                </c:pt>
                <c:pt idx="81">
                  <c:v>-109.49825560951047</c:v>
                </c:pt>
                <c:pt idx="82">
                  <c:v>-122.37227146467615</c:v>
                </c:pt>
                <c:pt idx="83">
                  <c:v>-136.53846153846257</c:v>
                </c:pt>
                <c:pt idx="84">
                  <c:v>-150.9615384615397</c:v>
                </c:pt>
                <c:pt idx="85">
                  <c:v>-165.38461538461661</c:v>
                </c:pt>
                <c:pt idx="86">
                  <c:v>-179.80769230769351</c:v>
                </c:pt>
                <c:pt idx="87">
                  <c:v>-194.23076923077053</c:v>
                </c:pt>
                <c:pt idx="88">
                  <c:v>-208.65384615384744</c:v>
                </c:pt>
                <c:pt idx="89">
                  <c:v>-223.07692307692423</c:v>
                </c:pt>
                <c:pt idx="90">
                  <c:v>-237.50000000000114</c:v>
                </c:pt>
                <c:pt idx="91">
                  <c:v>-251.92307692307816</c:v>
                </c:pt>
                <c:pt idx="92">
                  <c:v>-266.34615384615506</c:v>
                </c:pt>
                <c:pt idx="93">
                  <c:v>-280.76923076923197</c:v>
                </c:pt>
                <c:pt idx="94">
                  <c:v>-295.19230769230904</c:v>
                </c:pt>
                <c:pt idx="95">
                  <c:v>-309.61538461538589</c:v>
                </c:pt>
                <c:pt idx="96">
                  <c:v>-324.0384615384628</c:v>
                </c:pt>
                <c:pt idx="97">
                  <c:v>-338.46153846153982</c:v>
                </c:pt>
                <c:pt idx="98">
                  <c:v>-352.88461538461684</c:v>
                </c:pt>
                <c:pt idx="99">
                  <c:v>-367.30769230769363</c:v>
                </c:pt>
              </c:numCache>
            </c:numRef>
          </c:yVal>
          <c:smooth val="1"/>
          <c:extLst>
            <c:ext xmlns:c16="http://schemas.microsoft.com/office/drawing/2014/chart" uri="{C3380CC4-5D6E-409C-BE32-E72D297353CC}">
              <c16:uniqueId val="{00000000-3CFC-437B-9EBC-74913B5DDE69}"/>
            </c:ext>
          </c:extLst>
        </c:ser>
        <c:ser>
          <c:idx val="5"/>
          <c:order val="1"/>
          <c:tx>
            <c:v>NI max</c:v>
          </c:tx>
          <c:spPr>
            <a:ln>
              <a:noFill/>
            </a:ln>
          </c:spPr>
          <c:marker>
            <c:symbol val="star"/>
            <c:size val="9"/>
            <c:spPr>
              <a:ln>
                <a:solidFill>
                  <a:schemeClr val="tx1"/>
                </a:solidFill>
              </a:ln>
            </c:spPr>
          </c:marker>
          <c:xVal>
            <c:numRef>
              <c:f>WatLimNI!$V$95</c:f>
              <c:numCache>
                <c:formatCode>0.000</c:formatCode>
                <c:ptCount val="1"/>
                <c:pt idx="0">
                  <c:v>0.63655190266632133</c:v>
                </c:pt>
              </c:numCache>
            </c:numRef>
          </c:xVal>
          <c:yVal>
            <c:numRef>
              <c:f>WatLimNI!$V$92</c:f>
              <c:numCache>
                <c:formatCode>"$"#,##0</c:formatCode>
                <c:ptCount val="1"/>
                <c:pt idx="0">
                  <c:v>618.49246612664217</c:v>
                </c:pt>
              </c:numCache>
            </c:numRef>
          </c:yVal>
          <c:smooth val="1"/>
          <c:extLst>
            <c:ext xmlns:c16="http://schemas.microsoft.com/office/drawing/2014/chart" uri="{C3380CC4-5D6E-409C-BE32-E72D297353CC}">
              <c16:uniqueId val="{00000007-3CFC-437B-9EBC-74913B5DDE69}"/>
            </c:ext>
          </c:extLst>
        </c:ser>
        <c:ser>
          <c:idx val="4"/>
          <c:order val="2"/>
          <c:tx>
            <c:v>NI Max model</c:v>
          </c:tx>
          <c:spPr>
            <a:ln>
              <a:noFill/>
            </a:ln>
          </c:spPr>
          <c:marker>
            <c:symbol val="circle"/>
            <c:size val="8"/>
            <c:spPr>
              <a:solidFill>
                <a:schemeClr val="tx1"/>
              </a:solidFill>
              <a:ln>
                <a:solidFill>
                  <a:schemeClr val="tx1"/>
                </a:solidFill>
              </a:ln>
            </c:spPr>
          </c:marker>
          <c:xVal>
            <c:numRef>
              <c:f>WatLimNI!$J$24</c:f>
              <c:numCache>
                <c:formatCode>0.000</c:formatCode>
                <c:ptCount val="1"/>
                <c:pt idx="0">
                  <c:v>0.67807657527597565</c:v>
                </c:pt>
              </c:numCache>
            </c:numRef>
          </c:xVal>
          <c:yVal>
            <c:numRef>
              <c:f>WatLimNI!$N$24</c:f>
              <c:numCache>
                <c:formatCode>"$"#,##0</c:formatCode>
                <c:ptCount val="1"/>
                <c:pt idx="0">
                  <c:v>623.81784232974155</c:v>
                </c:pt>
              </c:numCache>
            </c:numRef>
          </c:yVal>
          <c:smooth val="1"/>
          <c:extLst>
            <c:ext xmlns:c16="http://schemas.microsoft.com/office/drawing/2014/chart" uri="{C3380CC4-5D6E-409C-BE32-E72D297353CC}">
              <c16:uniqueId val="{00000000-FA54-4809-8A18-2A2D737E7ADC}"/>
            </c:ext>
          </c:extLst>
        </c:ser>
        <c:ser>
          <c:idx val="1"/>
          <c:order val="3"/>
          <c:tx>
            <c:v>NI Irrig per ha</c:v>
          </c:tx>
          <c:spPr>
            <a:ln>
              <a:solidFill>
                <a:schemeClr val="accent1">
                  <a:lumMod val="75000"/>
                </a:schemeClr>
              </a:solidFill>
              <a:prstDash val="sysDash"/>
            </a:ln>
          </c:spPr>
          <c:marker>
            <c:symbol val="none"/>
          </c:marker>
          <c:xVal>
            <c:numRef>
              <c:f>WatLimNI!$J$26:$J$125</c:f>
              <c:numCache>
                <c:formatCode>0.000</c:formatCode>
                <c:ptCount val="100"/>
                <c:pt idx="0">
                  <c:v>0.58826570929631317</c:v>
                </c:pt>
                <c:pt idx="1">
                  <c:v>0.59988912208450473</c:v>
                </c:pt>
                <c:pt idx="2">
                  <c:v>0.61180383212595602</c:v>
                </c:pt>
                <c:pt idx="3">
                  <c:v>0.62402088772845976</c:v>
                </c:pt>
                <c:pt idx="4">
                  <c:v>0.63655190266632133</c:v>
                </c:pt>
                <c:pt idx="5">
                  <c:v>0.64940909282079307</c:v>
                </c:pt>
                <c:pt idx="6">
                  <c:v>0.66260531570685677</c:v>
                </c:pt>
                <c:pt idx="7">
                  <c:v>0.6761541131551545</c:v>
                </c:pt>
                <c:pt idx="8">
                  <c:v>0.6900697574468555</c:v>
                </c:pt>
                <c:pt idx="9">
                  <c:v>0.70436730123180291</c:v>
                </c:pt>
                <c:pt idx="10">
                  <c:v>0.71906263159691819</c:v>
                </c:pt>
                <c:pt idx="11">
                  <c:v>0.73417252869307681</c:v>
                </c:pt>
                <c:pt idx="12">
                  <c:v>0.74971472937522787</c:v>
                </c:pt>
                <c:pt idx="13">
                  <c:v>0.76570799636311426</c:v>
                </c:pt>
                <c:pt idx="14">
                  <c:v>0.78217219348950418</c:v>
                </c:pt>
                <c:pt idx="15">
                  <c:v>0.7991283676703651</c:v>
                </c:pt>
                <c:pt idx="16">
                  <c:v>0.81659883830811342</c:v>
                </c:pt>
                <c:pt idx="17">
                  <c:v>0.83460729492638419</c:v>
                </c:pt>
                <c:pt idx="18">
                  <c:v>0.85317890393429396</c:v>
                </c:pt>
                <c:pt idx="19">
                  <c:v>0.87234042553191515</c:v>
                </c:pt>
                <c:pt idx="20">
                  <c:v>0.89212034189886646</c:v>
                </c:pt>
                <c:pt idx="21">
                  <c:v>0.91254899795726885</c:v>
                </c:pt>
                <c:pt idx="22">
                  <c:v>0.93365875617201455</c:v>
                </c:pt>
                <c:pt idx="23">
                  <c:v>0.95548416704910533</c:v>
                </c:pt>
                <c:pt idx="24">
                  <c:v>0.97806215722120715</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Cache>
            </c:numRef>
          </c:xVal>
          <c:yVal>
            <c:numRef>
              <c:f>WatLimNI!$H$26:$H$125</c:f>
              <c:numCache>
                <c:formatCode>"$"#,##0</c:formatCode>
                <c:ptCount val="100"/>
                <c:pt idx="0">
                  <c:v>856.58747051552041</c:v>
                </c:pt>
                <c:pt idx="1">
                  <c:v>846.11688001746757</c:v>
                </c:pt>
                <c:pt idx="2">
                  <c:v>835.58946756057185</c:v>
                </c:pt>
                <c:pt idx="3">
                  <c:v>825.00643707756672</c:v>
                </c:pt>
                <c:pt idx="4">
                  <c:v>814.3689586135697</c:v>
                </c:pt>
                <c:pt idx="5">
                  <c:v>803.67816950874999</c:v>
                </c:pt>
                <c:pt idx="6">
                  <c:v>792.93517553178913</c:v>
                </c:pt>
                <c:pt idx="7">
                  <c:v>782.14105196651371</c:v>
                </c:pt>
                <c:pt idx="8">
                  <c:v>771.29684465393257</c:v>
                </c:pt>
                <c:pt idx="9">
                  <c:v>760.40357099180596</c:v>
                </c:pt>
                <c:pt idx="10">
                  <c:v>749.46222089374851</c:v>
                </c:pt>
                <c:pt idx="11">
                  <c:v>738.4737577097635</c:v>
                </c:pt>
                <c:pt idx="12">
                  <c:v>727.43911911000873</c:v>
                </c:pt>
                <c:pt idx="13">
                  <c:v>716.35921793349439</c:v>
                </c:pt>
                <c:pt idx="14">
                  <c:v>705.23494300332118</c:v>
                </c:pt>
                <c:pt idx="15">
                  <c:v>694.06715990999578</c:v>
                </c:pt>
                <c:pt idx="16">
                  <c:v>682.85671176426581</c:v>
                </c:pt>
                <c:pt idx="17">
                  <c:v>671.60441992084952</c:v>
                </c:pt>
                <c:pt idx="18">
                  <c:v>660.31108467436661</c:v>
                </c:pt>
                <c:pt idx="19">
                  <c:v>648.97748592870494</c:v>
                </c:pt>
                <c:pt idx="20">
                  <c:v>637.6043838410028</c:v>
                </c:pt>
                <c:pt idx="21">
                  <c:v>626.19251944135476</c:v>
                </c:pt>
                <c:pt idx="22">
                  <c:v>614.74261522931124</c:v>
                </c:pt>
                <c:pt idx="23">
                  <c:v>603.25537574817076</c:v>
                </c:pt>
                <c:pt idx="24">
                  <c:v>591.73148813802982</c:v>
                </c:pt>
                <c:pt idx="25">
                  <c:v>580.17162266849368</c:v>
                </c:pt>
                <c:pt idx="26">
                  <c:v>568.57643325192385</c:v>
                </c:pt>
                <c:pt idx="27">
                  <c:v>556.94655793803895</c:v>
                </c:pt>
                <c:pt idx="28">
                  <c:v>545.28261939065942</c:v>
                </c:pt>
                <c:pt idx="29">
                  <c:v>533.58522534733902</c:v>
                </c:pt>
                <c:pt idx="30">
                  <c:v>521.85496906260255</c:v>
                </c:pt>
                <c:pt idx="31">
                  <c:v>510.09242973545292</c:v>
                </c:pt>
                <c:pt idx="32">
                  <c:v>498.29817292181542</c:v>
                </c:pt>
                <c:pt idx="33">
                  <c:v>486.47275093251528</c:v>
                </c:pt>
                <c:pt idx="34">
                  <c:v>474.61670321738848</c:v>
                </c:pt>
                <c:pt idx="35">
                  <c:v>462.73055673608133</c:v>
                </c:pt>
                <c:pt idx="36">
                  <c:v>450.81482631607309</c:v>
                </c:pt>
                <c:pt idx="37">
                  <c:v>438.87001499843791</c:v>
                </c:pt>
                <c:pt idx="38">
                  <c:v>426.89661437182008</c:v>
                </c:pt>
                <c:pt idx="39">
                  <c:v>414.8951048951044</c:v>
                </c:pt>
                <c:pt idx="40">
                  <c:v>402.86595620921298</c:v>
                </c:pt>
                <c:pt idx="41">
                  <c:v>390.80962743845976</c:v>
                </c:pt>
                <c:pt idx="42">
                  <c:v>378.72656748186273</c:v>
                </c:pt>
                <c:pt idx="43">
                  <c:v>366.61721529480792</c:v>
                </c:pt>
                <c:pt idx="44">
                  <c:v>354.48200016143278</c:v>
                </c:pt>
                <c:pt idx="45">
                  <c:v>342.32134195808021</c:v>
                </c:pt>
                <c:pt idx="46">
                  <c:v>330.1356514081674</c:v>
                </c:pt>
                <c:pt idx="47">
                  <c:v>317.92533032879192</c:v>
                </c:pt>
                <c:pt idx="48">
                  <c:v>305.69077186938398</c:v>
                </c:pt>
                <c:pt idx="49">
                  <c:v>293.43236074270476</c:v>
                </c:pt>
                <c:pt idx="50">
                  <c:v>281.15047344847562</c:v>
                </c:pt>
                <c:pt idx="51">
                  <c:v>268.84547848990292</c:v>
                </c:pt>
                <c:pt idx="52">
                  <c:v>256.51773658337333</c:v>
                </c:pt>
                <c:pt idx="53">
                  <c:v>244.16760086155796</c:v>
                </c:pt>
                <c:pt idx="54">
                  <c:v>231.79541707016983</c:v>
                </c:pt>
                <c:pt idx="55">
                  <c:v>219.40152375860407</c:v>
                </c:pt>
                <c:pt idx="56">
                  <c:v>206.98625246468112</c:v>
                </c:pt>
                <c:pt idx="57">
                  <c:v>194.5499278937059</c:v>
                </c:pt>
                <c:pt idx="58">
                  <c:v>182.09286809203877</c:v>
                </c:pt>
                <c:pt idx="59">
                  <c:v>169.61538461538396</c:v>
                </c:pt>
                <c:pt idx="60">
                  <c:v>157.1177826919718</c:v>
                </c:pt>
                <c:pt idx="61">
                  <c:v>144.60036138081989</c:v>
                </c:pt>
                <c:pt idx="62">
                  <c:v>132.06341372524207</c:v>
                </c:pt>
                <c:pt idx="63">
                  <c:v>119.50722690177213</c:v>
                </c:pt>
                <c:pt idx="64">
                  <c:v>106.93208236466194</c:v>
                </c:pt>
                <c:pt idx="65">
                  <c:v>94.338255986099966</c:v>
                </c:pt>
                <c:pt idx="66">
                  <c:v>81.726018192305446</c:v>
                </c:pt>
                <c:pt idx="67">
                  <c:v>69.095634095633386</c:v>
                </c:pt>
                <c:pt idx="68">
                  <c:v>56.44736362282606</c:v>
                </c:pt>
                <c:pt idx="69">
                  <c:v>43.781461639542158</c:v>
                </c:pt>
                <c:pt idx="70">
                  <c:v>31.098178071288658</c:v>
                </c:pt>
                <c:pt idx="71">
                  <c:v>18.397758020872743</c:v>
                </c:pt>
                <c:pt idx="72">
                  <c:v>5.6804418824953018</c:v>
                </c:pt>
                <c:pt idx="73">
                  <c:v>-7.0535345474095266</c:v>
                </c:pt>
                <c:pt idx="74">
                  <c:v>-19.803939962477443</c:v>
                </c:pt>
                <c:pt idx="75">
                  <c:v>-32.570547441757526</c:v>
                </c:pt>
                <c:pt idx="76">
                  <c:v>-45.353134347997184</c:v>
                </c:pt>
                <c:pt idx="77">
                  <c:v>-58.151482228776445</c:v>
                </c:pt>
                <c:pt idx="78">
                  <c:v>-70.965376720390054</c:v>
                </c:pt>
                <c:pt idx="79">
                  <c:v>-83.794607454402239</c:v>
                </c:pt>
                <c:pt idx="80">
                  <c:v>-96.638967966777273</c:v>
                </c:pt>
                <c:pt idx="81">
                  <c:v>-109.49825560951047</c:v>
                </c:pt>
                <c:pt idx="82">
                  <c:v>-122.37227146467615</c:v>
                </c:pt>
                <c:pt idx="83">
                  <c:v>-136.53846153846257</c:v>
                </c:pt>
                <c:pt idx="84">
                  <c:v>-150.9615384615397</c:v>
                </c:pt>
                <c:pt idx="85">
                  <c:v>-165.38461538461661</c:v>
                </c:pt>
                <c:pt idx="86">
                  <c:v>-179.80769230769351</c:v>
                </c:pt>
                <c:pt idx="87">
                  <c:v>-194.23076923077053</c:v>
                </c:pt>
                <c:pt idx="88">
                  <c:v>-208.65384615384744</c:v>
                </c:pt>
                <c:pt idx="89">
                  <c:v>-223.07692307692423</c:v>
                </c:pt>
                <c:pt idx="90">
                  <c:v>-237.50000000000114</c:v>
                </c:pt>
                <c:pt idx="91">
                  <c:v>-251.92307692307816</c:v>
                </c:pt>
                <c:pt idx="92">
                  <c:v>-266.34615384615506</c:v>
                </c:pt>
                <c:pt idx="93">
                  <c:v>-280.76923076923197</c:v>
                </c:pt>
                <c:pt idx="94">
                  <c:v>-295.19230769230904</c:v>
                </c:pt>
                <c:pt idx="95">
                  <c:v>-309.61538461538589</c:v>
                </c:pt>
                <c:pt idx="96">
                  <c:v>-324.0384615384628</c:v>
                </c:pt>
                <c:pt idx="97">
                  <c:v>-338.46153846153982</c:v>
                </c:pt>
                <c:pt idx="98">
                  <c:v>-352.88461538461684</c:v>
                </c:pt>
                <c:pt idx="99">
                  <c:v>-367.30769230769363</c:v>
                </c:pt>
              </c:numCache>
            </c:numRef>
          </c:yVal>
          <c:smooth val="1"/>
          <c:extLst>
            <c:ext xmlns:c16="http://schemas.microsoft.com/office/drawing/2014/chart" uri="{C3380CC4-5D6E-409C-BE32-E72D297353CC}">
              <c16:uniqueId val="{00000000-6BD9-4694-B9A1-C45A557C9F7D}"/>
            </c:ext>
          </c:extLst>
        </c:ser>
        <c:ser>
          <c:idx val="2"/>
          <c:order val="4"/>
          <c:tx>
            <c:strRef>
              <c:f>WatLimNI!$L$22</c:f>
              <c:strCache>
                <c:ptCount val="1"/>
                <c:pt idx="0">
                  <c:v>NI Irrig</c:v>
                </c:pt>
              </c:strCache>
            </c:strRef>
          </c:tx>
          <c:spPr>
            <a:ln>
              <a:solidFill>
                <a:schemeClr val="accent1">
                  <a:lumMod val="75000"/>
                </a:schemeClr>
              </a:solidFill>
            </a:ln>
          </c:spPr>
          <c:marker>
            <c:symbol val="none"/>
          </c:marker>
          <c:xVal>
            <c:numRef>
              <c:f>WatLimNI!$J$26:$J$125</c:f>
              <c:numCache>
                <c:formatCode>0.000</c:formatCode>
                <c:ptCount val="100"/>
                <c:pt idx="0">
                  <c:v>0.58826570929631317</c:v>
                </c:pt>
                <c:pt idx="1">
                  <c:v>0.59988912208450473</c:v>
                </c:pt>
                <c:pt idx="2">
                  <c:v>0.61180383212595602</c:v>
                </c:pt>
                <c:pt idx="3">
                  <c:v>0.62402088772845976</c:v>
                </c:pt>
                <c:pt idx="4">
                  <c:v>0.63655190266632133</c:v>
                </c:pt>
                <c:pt idx="5">
                  <c:v>0.64940909282079307</c:v>
                </c:pt>
                <c:pt idx="6">
                  <c:v>0.66260531570685677</c:v>
                </c:pt>
                <c:pt idx="7">
                  <c:v>0.6761541131551545</c:v>
                </c:pt>
                <c:pt idx="8">
                  <c:v>0.6900697574468555</c:v>
                </c:pt>
                <c:pt idx="9">
                  <c:v>0.70436730123180291</c:v>
                </c:pt>
                <c:pt idx="10">
                  <c:v>0.71906263159691819</c:v>
                </c:pt>
                <c:pt idx="11">
                  <c:v>0.73417252869307681</c:v>
                </c:pt>
                <c:pt idx="12">
                  <c:v>0.74971472937522787</c:v>
                </c:pt>
                <c:pt idx="13">
                  <c:v>0.76570799636311426</c:v>
                </c:pt>
                <c:pt idx="14">
                  <c:v>0.78217219348950418</c:v>
                </c:pt>
                <c:pt idx="15">
                  <c:v>0.7991283676703651</c:v>
                </c:pt>
                <c:pt idx="16">
                  <c:v>0.81659883830811342</c:v>
                </c:pt>
                <c:pt idx="17">
                  <c:v>0.83460729492638419</c:v>
                </c:pt>
                <c:pt idx="18">
                  <c:v>0.85317890393429396</c:v>
                </c:pt>
                <c:pt idx="19">
                  <c:v>0.87234042553191515</c:v>
                </c:pt>
                <c:pt idx="20">
                  <c:v>0.89212034189886646</c:v>
                </c:pt>
                <c:pt idx="21">
                  <c:v>0.91254899795726885</c:v>
                </c:pt>
                <c:pt idx="22">
                  <c:v>0.93365875617201455</c:v>
                </c:pt>
                <c:pt idx="23">
                  <c:v>0.95548416704910533</c:v>
                </c:pt>
                <c:pt idx="24">
                  <c:v>0.97806215722120715</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Cache>
            </c:numRef>
          </c:xVal>
          <c:yVal>
            <c:numRef>
              <c:f>WatLimNI!$L$26:$L$125</c:f>
              <c:numCache>
                <c:formatCode>"$"#,##0</c:formatCode>
                <c:ptCount val="100"/>
                <c:pt idx="0">
                  <c:v>503.90103591714734</c:v>
                </c:pt>
                <c:pt idx="1">
                  <c:v>507.57631233455885</c:v>
                </c:pt>
                <c:pt idx="2">
                  <c:v>511.21683833764507</c:v>
                </c:pt>
                <c:pt idx="3">
                  <c:v>514.82124924683683</c:v>
                </c:pt>
                <c:pt idx="4">
                  <c:v>518.38811007785853</c:v>
                </c:pt>
                <c:pt idx="5">
                  <c:v>521.91591098055289</c:v>
                </c:pt>
                <c:pt idx="6">
                  <c:v>525.403062318313</c:v>
                </c:pt>
                <c:pt idx="7">
                  <c:v>528.8478893546577</c:v>
                </c:pt>
                <c:pt idx="8">
                  <c:v>532.24862650986427</c:v>
                </c:pt>
                <c:pt idx="9">
                  <c:v>535.60341114652397</c:v>
                </c:pt>
                <c:pt idx="10">
                  <c:v>538.91027683832965</c:v>
                </c:pt>
                <c:pt idx="11">
                  <c:v>542.16714607125562</c:v>
                </c:pt>
                <c:pt idx="12">
                  <c:v>545.3718223205143</c:v>
                </c:pt>
                <c:pt idx="13">
                  <c:v>548.52198144010345</c:v>
                </c:pt>
                <c:pt idx="14">
                  <c:v>551.61516229435313</c:v>
                </c:pt>
                <c:pt idx="15">
                  <c:v>554.64875655248125</c:v>
                </c:pt>
                <c:pt idx="16">
                  <c:v>557.61999755759769</c:v>
                </c:pt>
                <c:pt idx="17">
                  <c:v>560.52594817074362</c:v>
                </c:pt>
                <c:pt idx="18">
                  <c:v>563.36348747814088</c:v>
                </c:pt>
                <c:pt idx="19">
                  <c:v>566.12929623567891</c:v>
                </c:pt>
                <c:pt idx="20">
                  <c:v>568.81984090845151</c:v>
                </c:pt>
                <c:pt idx="21">
                  <c:v>571.43135614454593</c:v>
                </c:pt>
                <c:pt idx="22">
                  <c:v>573.95982550093004</c:v>
                </c:pt>
                <c:pt idx="23">
                  <c:v>576.40096021463603</c:v>
                </c:pt>
                <c:pt idx="24">
                  <c:v>578.75017578399661</c:v>
                </c:pt>
                <c:pt idx="25">
                  <c:v>580.17162266849368</c:v>
                </c:pt>
                <c:pt idx="26">
                  <c:v>568.57643325192385</c:v>
                </c:pt>
                <c:pt idx="27">
                  <c:v>556.94655793803895</c:v>
                </c:pt>
                <c:pt idx="28">
                  <c:v>545.28261939065942</c:v>
                </c:pt>
                <c:pt idx="29">
                  <c:v>533.58522534733902</c:v>
                </c:pt>
                <c:pt idx="30">
                  <c:v>521.85496906260255</c:v>
                </c:pt>
                <c:pt idx="31">
                  <c:v>510.09242973545292</c:v>
                </c:pt>
                <c:pt idx="32">
                  <c:v>498.29817292181542</c:v>
                </c:pt>
                <c:pt idx="33">
                  <c:v>486.47275093251528</c:v>
                </c:pt>
                <c:pt idx="34">
                  <c:v>474.61670321738848</c:v>
                </c:pt>
                <c:pt idx="35">
                  <c:v>462.73055673608133</c:v>
                </c:pt>
                <c:pt idx="36">
                  <c:v>450.81482631607309</c:v>
                </c:pt>
                <c:pt idx="37">
                  <c:v>438.87001499843791</c:v>
                </c:pt>
                <c:pt idx="38">
                  <c:v>426.89661437182008</c:v>
                </c:pt>
                <c:pt idx="39">
                  <c:v>414.8951048951044</c:v>
                </c:pt>
                <c:pt idx="40">
                  <c:v>402.86595620921298</c:v>
                </c:pt>
                <c:pt idx="41">
                  <c:v>390.80962743845976</c:v>
                </c:pt>
                <c:pt idx="42">
                  <c:v>378.72656748186273</c:v>
                </c:pt>
                <c:pt idx="43">
                  <c:v>366.61721529480792</c:v>
                </c:pt>
                <c:pt idx="44">
                  <c:v>354.48200016143278</c:v>
                </c:pt>
                <c:pt idx="45">
                  <c:v>342.32134195808021</c:v>
                </c:pt>
                <c:pt idx="46">
                  <c:v>330.1356514081674</c:v>
                </c:pt>
                <c:pt idx="47">
                  <c:v>317.92533032879192</c:v>
                </c:pt>
                <c:pt idx="48">
                  <c:v>305.69077186938398</c:v>
                </c:pt>
                <c:pt idx="49">
                  <c:v>293.43236074270476</c:v>
                </c:pt>
                <c:pt idx="50">
                  <c:v>281.15047344847562</c:v>
                </c:pt>
                <c:pt idx="51">
                  <c:v>268.84547848990292</c:v>
                </c:pt>
                <c:pt idx="52">
                  <c:v>256.51773658337333</c:v>
                </c:pt>
                <c:pt idx="53">
                  <c:v>244.16760086155796</c:v>
                </c:pt>
                <c:pt idx="54">
                  <c:v>231.79541707016983</c:v>
                </c:pt>
                <c:pt idx="55">
                  <c:v>219.40152375860407</c:v>
                </c:pt>
                <c:pt idx="56">
                  <c:v>206.98625246468112</c:v>
                </c:pt>
                <c:pt idx="57">
                  <c:v>194.5499278937059</c:v>
                </c:pt>
                <c:pt idx="58">
                  <c:v>182.09286809203877</c:v>
                </c:pt>
                <c:pt idx="59">
                  <c:v>169.61538461538396</c:v>
                </c:pt>
                <c:pt idx="60">
                  <c:v>157.1177826919718</c:v>
                </c:pt>
                <c:pt idx="61">
                  <c:v>144.60036138081989</c:v>
                </c:pt>
                <c:pt idx="62">
                  <c:v>132.06341372524207</c:v>
                </c:pt>
                <c:pt idx="63">
                  <c:v>119.50722690177213</c:v>
                </c:pt>
                <c:pt idx="64">
                  <c:v>106.93208236466194</c:v>
                </c:pt>
                <c:pt idx="65">
                  <c:v>94.338255986099966</c:v>
                </c:pt>
                <c:pt idx="66">
                  <c:v>81.726018192305446</c:v>
                </c:pt>
                <c:pt idx="67">
                  <c:v>69.095634095633386</c:v>
                </c:pt>
                <c:pt idx="68">
                  <c:v>56.44736362282606</c:v>
                </c:pt>
                <c:pt idx="69">
                  <c:v>43.781461639542158</c:v>
                </c:pt>
                <c:pt idx="70">
                  <c:v>31.098178071288658</c:v>
                </c:pt>
                <c:pt idx="71">
                  <c:v>18.397758020872743</c:v>
                </c:pt>
                <c:pt idx="72">
                  <c:v>5.6804418824953018</c:v>
                </c:pt>
                <c:pt idx="73">
                  <c:v>-7.0535345474095266</c:v>
                </c:pt>
                <c:pt idx="74">
                  <c:v>-19.803939962477443</c:v>
                </c:pt>
                <c:pt idx="75">
                  <c:v>-32.570547441757526</c:v>
                </c:pt>
                <c:pt idx="76">
                  <c:v>-45.353134347997184</c:v>
                </c:pt>
                <c:pt idx="77">
                  <c:v>-58.151482228776445</c:v>
                </c:pt>
                <c:pt idx="78">
                  <c:v>-70.965376720390054</c:v>
                </c:pt>
                <c:pt idx="79">
                  <c:v>-83.794607454402239</c:v>
                </c:pt>
                <c:pt idx="80">
                  <c:v>-96.638967966777273</c:v>
                </c:pt>
                <c:pt idx="81">
                  <c:v>-109.49825560951047</c:v>
                </c:pt>
                <c:pt idx="82">
                  <c:v>-122.37227146467615</c:v>
                </c:pt>
                <c:pt idx="83">
                  <c:v>-136.53846153846257</c:v>
                </c:pt>
                <c:pt idx="84">
                  <c:v>-150.9615384615397</c:v>
                </c:pt>
                <c:pt idx="85">
                  <c:v>-165.38461538461661</c:v>
                </c:pt>
                <c:pt idx="86">
                  <c:v>-179.80769230769351</c:v>
                </c:pt>
                <c:pt idx="87">
                  <c:v>-194.23076923077053</c:v>
                </c:pt>
                <c:pt idx="88">
                  <c:v>-208.65384615384744</c:v>
                </c:pt>
                <c:pt idx="89">
                  <c:v>-223.07692307692423</c:v>
                </c:pt>
                <c:pt idx="90">
                  <c:v>-237.50000000000114</c:v>
                </c:pt>
                <c:pt idx="91">
                  <c:v>-251.92307692307816</c:v>
                </c:pt>
                <c:pt idx="92">
                  <c:v>-266.34615384615506</c:v>
                </c:pt>
                <c:pt idx="93">
                  <c:v>-280.76923076923197</c:v>
                </c:pt>
                <c:pt idx="94">
                  <c:v>-295.19230769230904</c:v>
                </c:pt>
                <c:pt idx="95">
                  <c:v>-309.61538461538589</c:v>
                </c:pt>
                <c:pt idx="96">
                  <c:v>-324.0384615384628</c:v>
                </c:pt>
                <c:pt idx="97">
                  <c:v>-338.46153846153982</c:v>
                </c:pt>
                <c:pt idx="98">
                  <c:v>-352.88461538461684</c:v>
                </c:pt>
                <c:pt idx="99">
                  <c:v>-367.30769230769363</c:v>
                </c:pt>
              </c:numCache>
            </c:numRef>
          </c:yVal>
          <c:smooth val="1"/>
          <c:extLst>
            <c:ext xmlns:c16="http://schemas.microsoft.com/office/drawing/2014/chart" uri="{C3380CC4-5D6E-409C-BE32-E72D297353CC}">
              <c16:uniqueId val="{00000002-3CFC-437B-9EBC-74913B5DDE69}"/>
            </c:ext>
          </c:extLst>
        </c:ser>
        <c:ser>
          <c:idx val="6"/>
          <c:order val="5"/>
          <c:tx>
            <c:v>NI Rainfed per ha</c:v>
          </c:tx>
          <c:spPr>
            <a:ln>
              <a:solidFill>
                <a:schemeClr val="accent2"/>
              </a:solidFill>
              <a:prstDash val="sysDash"/>
            </a:ln>
          </c:spPr>
          <c:marker>
            <c:symbol val="none"/>
          </c:marker>
          <c:xVal>
            <c:numRef>
              <c:f>WatLimNI!$J$26:$J$125</c:f>
              <c:numCache>
                <c:formatCode>0.000</c:formatCode>
                <c:ptCount val="100"/>
                <c:pt idx="0">
                  <c:v>0.58826570929631317</c:v>
                </c:pt>
                <c:pt idx="1">
                  <c:v>0.59988912208450473</c:v>
                </c:pt>
                <c:pt idx="2">
                  <c:v>0.61180383212595602</c:v>
                </c:pt>
                <c:pt idx="3">
                  <c:v>0.62402088772845976</c:v>
                </c:pt>
                <c:pt idx="4">
                  <c:v>0.63655190266632133</c:v>
                </c:pt>
                <c:pt idx="5">
                  <c:v>0.64940909282079307</c:v>
                </c:pt>
                <c:pt idx="6">
                  <c:v>0.66260531570685677</c:v>
                </c:pt>
                <c:pt idx="7">
                  <c:v>0.6761541131551545</c:v>
                </c:pt>
                <c:pt idx="8">
                  <c:v>0.6900697574468555</c:v>
                </c:pt>
                <c:pt idx="9">
                  <c:v>0.70436730123180291</c:v>
                </c:pt>
                <c:pt idx="10">
                  <c:v>0.71906263159691819</c:v>
                </c:pt>
                <c:pt idx="11">
                  <c:v>0.73417252869307681</c:v>
                </c:pt>
                <c:pt idx="12">
                  <c:v>0.74971472937522787</c:v>
                </c:pt>
                <c:pt idx="13">
                  <c:v>0.76570799636311426</c:v>
                </c:pt>
                <c:pt idx="14">
                  <c:v>0.78217219348950418</c:v>
                </c:pt>
                <c:pt idx="15">
                  <c:v>0.7991283676703651</c:v>
                </c:pt>
                <c:pt idx="16">
                  <c:v>0.81659883830811342</c:v>
                </c:pt>
                <c:pt idx="17">
                  <c:v>0.83460729492638419</c:v>
                </c:pt>
                <c:pt idx="18">
                  <c:v>0.85317890393429396</c:v>
                </c:pt>
                <c:pt idx="19">
                  <c:v>0.87234042553191515</c:v>
                </c:pt>
                <c:pt idx="20">
                  <c:v>0.89212034189886646</c:v>
                </c:pt>
                <c:pt idx="21">
                  <c:v>0.91254899795726885</c:v>
                </c:pt>
                <c:pt idx="22">
                  <c:v>0.93365875617201455</c:v>
                </c:pt>
                <c:pt idx="23">
                  <c:v>0.95548416704910533</c:v>
                </c:pt>
                <c:pt idx="24">
                  <c:v>0.97806215722120715</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Cache>
            </c:numRef>
          </c:xVal>
          <c:yVal>
            <c:numRef>
              <c:f>WatLimNI!$I$26:$I$125</c:f>
              <c:numCache>
                <c:formatCode>"$"#,##0</c:formatCode>
                <c:ptCount val="100"/>
                <c:pt idx="0">
                  <c:v>275.42957793194506</c:v>
                </c:pt>
                <c:pt idx="1">
                  <c:v>275.42957793194506</c:v>
                </c:pt>
                <c:pt idx="2">
                  <c:v>275.42957793194506</c:v>
                </c:pt>
                <c:pt idx="3">
                  <c:v>275.42957793194506</c:v>
                </c:pt>
                <c:pt idx="4">
                  <c:v>275.42957793194506</c:v>
                </c:pt>
                <c:pt idx="5">
                  <c:v>275.42957793194506</c:v>
                </c:pt>
                <c:pt idx="6">
                  <c:v>275.42957793194506</c:v>
                </c:pt>
                <c:pt idx="7">
                  <c:v>275.42957793194506</c:v>
                </c:pt>
                <c:pt idx="8">
                  <c:v>275.42957793194506</c:v>
                </c:pt>
                <c:pt idx="9">
                  <c:v>275.42957793194506</c:v>
                </c:pt>
                <c:pt idx="10">
                  <c:v>275.42957793194506</c:v>
                </c:pt>
                <c:pt idx="11">
                  <c:v>275.42957793194506</c:v>
                </c:pt>
                <c:pt idx="12">
                  <c:v>275.42957793194506</c:v>
                </c:pt>
                <c:pt idx="13">
                  <c:v>275.42957793194506</c:v>
                </c:pt>
                <c:pt idx="14">
                  <c:v>275.42957793194506</c:v>
                </c:pt>
                <c:pt idx="15">
                  <c:v>275.42957793194506</c:v>
                </c:pt>
                <c:pt idx="16">
                  <c:v>275.42957793194506</c:v>
                </c:pt>
                <c:pt idx="17">
                  <c:v>275.42957793194506</c:v>
                </c:pt>
                <c:pt idx="18">
                  <c:v>275.42957793194506</c:v>
                </c:pt>
                <c:pt idx="19">
                  <c:v>275.42957793194506</c:v>
                </c:pt>
                <c:pt idx="20">
                  <c:v>275.42957793194506</c:v>
                </c:pt>
                <c:pt idx="21">
                  <c:v>275.42957793194506</c:v>
                </c:pt>
                <c:pt idx="22">
                  <c:v>275.42957793194506</c:v>
                </c:pt>
                <c:pt idx="23">
                  <c:v>275.42957793194506</c:v>
                </c:pt>
                <c:pt idx="24">
                  <c:v>275.42957793194506</c:v>
                </c:pt>
                <c:pt idx="25">
                  <c:v>275.42957793194506</c:v>
                </c:pt>
                <c:pt idx="26">
                  <c:v>275.42957793194506</c:v>
                </c:pt>
                <c:pt idx="27">
                  <c:v>275.42957793194506</c:v>
                </c:pt>
                <c:pt idx="28">
                  <c:v>275.42957793194506</c:v>
                </c:pt>
                <c:pt idx="29">
                  <c:v>275.42957793194506</c:v>
                </c:pt>
                <c:pt idx="30">
                  <c:v>275.42957793194506</c:v>
                </c:pt>
                <c:pt idx="31">
                  <c:v>275.42957793194506</c:v>
                </c:pt>
                <c:pt idx="32">
                  <c:v>275.42957793194506</c:v>
                </c:pt>
                <c:pt idx="33">
                  <c:v>275.42957793194506</c:v>
                </c:pt>
                <c:pt idx="34">
                  <c:v>275.42957793194506</c:v>
                </c:pt>
                <c:pt idx="35">
                  <c:v>275.42957793194506</c:v>
                </c:pt>
                <c:pt idx="36">
                  <c:v>275.42957793194506</c:v>
                </c:pt>
                <c:pt idx="37">
                  <c:v>275.42957793194506</c:v>
                </c:pt>
                <c:pt idx="38">
                  <c:v>275.42957793194506</c:v>
                </c:pt>
                <c:pt idx="39">
                  <c:v>275.42957793194506</c:v>
                </c:pt>
                <c:pt idx="40">
                  <c:v>275.42957793194506</c:v>
                </c:pt>
                <c:pt idx="41">
                  <c:v>275.42957793194506</c:v>
                </c:pt>
                <c:pt idx="42">
                  <c:v>275.42957793194506</c:v>
                </c:pt>
                <c:pt idx="43">
                  <c:v>275.42957793194506</c:v>
                </c:pt>
                <c:pt idx="44">
                  <c:v>275.42957793194506</c:v>
                </c:pt>
                <c:pt idx="45">
                  <c:v>275.42957793194506</c:v>
                </c:pt>
                <c:pt idx="46">
                  <c:v>275.42957793194506</c:v>
                </c:pt>
                <c:pt idx="47">
                  <c:v>275.42957793194506</c:v>
                </c:pt>
                <c:pt idx="48">
                  <c:v>275.42957793194506</c:v>
                </c:pt>
                <c:pt idx="49">
                  <c:v>275.42957793194506</c:v>
                </c:pt>
                <c:pt idx="50">
                  <c:v>275.42957793194506</c:v>
                </c:pt>
                <c:pt idx="51">
                  <c:v>275.42957793194506</c:v>
                </c:pt>
                <c:pt idx="52">
                  <c:v>275.42957793194506</c:v>
                </c:pt>
                <c:pt idx="53">
                  <c:v>275.42957793194506</c:v>
                </c:pt>
                <c:pt idx="54">
                  <c:v>275.42957793194506</c:v>
                </c:pt>
                <c:pt idx="55">
                  <c:v>275.42957793194506</c:v>
                </c:pt>
                <c:pt idx="56">
                  <c:v>275.42957793194506</c:v>
                </c:pt>
                <c:pt idx="57">
                  <c:v>275.42957793194506</c:v>
                </c:pt>
                <c:pt idx="58">
                  <c:v>275.42957793194506</c:v>
                </c:pt>
                <c:pt idx="59">
                  <c:v>275.42957793194506</c:v>
                </c:pt>
                <c:pt idx="60">
                  <c:v>275.42957793194506</c:v>
                </c:pt>
                <c:pt idx="61">
                  <c:v>275.42957793194506</c:v>
                </c:pt>
                <c:pt idx="62">
                  <c:v>275.42957793194506</c:v>
                </c:pt>
                <c:pt idx="63">
                  <c:v>275.42957793194506</c:v>
                </c:pt>
                <c:pt idx="64">
                  <c:v>275.42957793194506</c:v>
                </c:pt>
                <c:pt idx="65">
                  <c:v>275.42957793194506</c:v>
                </c:pt>
                <c:pt idx="66">
                  <c:v>275.42957793194506</c:v>
                </c:pt>
                <c:pt idx="67">
                  <c:v>275.42957793194506</c:v>
                </c:pt>
                <c:pt idx="68">
                  <c:v>275.42957793194506</c:v>
                </c:pt>
                <c:pt idx="69">
                  <c:v>275.42957793194506</c:v>
                </c:pt>
                <c:pt idx="70">
                  <c:v>275.42957793194506</c:v>
                </c:pt>
                <c:pt idx="71">
                  <c:v>275.42957793194506</c:v>
                </c:pt>
                <c:pt idx="72">
                  <c:v>275.42957793194506</c:v>
                </c:pt>
                <c:pt idx="73">
                  <c:v>275.42957793194506</c:v>
                </c:pt>
                <c:pt idx="74">
                  <c:v>275.42957793194506</c:v>
                </c:pt>
                <c:pt idx="75">
                  <c:v>275.42957793194506</c:v>
                </c:pt>
                <c:pt idx="76">
                  <c:v>275.42957793194506</c:v>
                </c:pt>
                <c:pt idx="77">
                  <c:v>275.42957793194506</c:v>
                </c:pt>
                <c:pt idx="78">
                  <c:v>275.42957793194506</c:v>
                </c:pt>
                <c:pt idx="79">
                  <c:v>275.42957793194506</c:v>
                </c:pt>
                <c:pt idx="80">
                  <c:v>275.42957793194506</c:v>
                </c:pt>
                <c:pt idx="81">
                  <c:v>275.42957793194506</c:v>
                </c:pt>
                <c:pt idx="82">
                  <c:v>275.42957793194506</c:v>
                </c:pt>
                <c:pt idx="83">
                  <c:v>275.42957793194506</c:v>
                </c:pt>
                <c:pt idx="84">
                  <c:v>275.42957793194506</c:v>
                </c:pt>
                <c:pt idx="85">
                  <c:v>275.42957793194506</c:v>
                </c:pt>
                <c:pt idx="86">
                  <c:v>275.42957793194506</c:v>
                </c:pt>
                <c:pt idx="87">
                  <c:v>275.42957793194506</c:v>
                </c:pt>
                <c:pt idx="88">
                  <c:v>275.42957793194506</c:v>
                </c:pt>
                <c:pt idx="89">
                  <c:v>275.42957793194506</c:v>
                </c:pt>
                <c:pt idx="90">
                  <c:v>275.42957793194506</c:v>
                </c:pt>
                <c:pt idx="91">
                  <c:v>275.42957793194506</c:v>
                </c:pt>
                <c:pt idx="92">
                  <c:v>275.42957793194506</c:v>
                </c:pt>
                <c:pt idx="93">
                  <c:v>275.42957793194506</c:v>
                </c:pt>
                <c:pt idx="94">
                  <c:v>275.42957793194506</c:v>
                </c:pt>
                <c:pt idx="95">
                  <c:v>275.42957793194506</c:v>
                </c:pt>
                <c:pt idx="96">
                  <c:v>275.42957793194506</c:v>
                </c:pt>
                <c:pt idx="97">
                  <c:v>275.42957793194506</c:v>
                </c:pt>
                <c:pt idx="98">
                  <c:v>275.42957793194506</c:v>
                </c:pt>
                <c:pt idx="99">
                  <c:v>275.42957793194506</c:v>
                </c:pt>
              </c:numCache>
            </c:numRef>
          </c:yVal>
          <c:smooth val="1"/>
          <c:extLst>
            <c:ext xmlns:c16="http://schemas.microsoft.com/office/drawing/2014/chart" uri="{C3380CC4-5D6E-409C-BE32-E72D297353CC}">
              <c16:uniqueId val="{00000001-6BD9-4694-B9A1-C45A557C9F7D}"/>
            </c:ext>
          </c:extLst>
        </c:ser>
        <c:ser>
          <c:idx val="3"/>
          <c:order val="6"/>
          <c:tx>
            <c:strRef>
              <c:f>WatLimNI!$M$22</c:f>
              <c:strCache>
                <c:ptCount val="1"/>
                <c:pt idx="0">
                  <c:v>NI Rainfed</c:v>
                </c:pt>
              </c:strCache>
            </c:strRef>
          </c:tx>
          <c:spPr>
            <a:ln>
              <a:solidFill>
                <a:schemeClr val="accent2"/>
              </a:solidFill>
            </a:ln>
          </c:spPr>
          <c:marker>
            <c:symbol val="none"/>
          </c:marker>
          <c:xVal>
            <c:numRef>
              <c:f>WatLimNI!$J$26:$J$125</c:f>
              <c:numCache>
                <c:formatCode>0.000</c:formatCode>
                <c:ptCount val="100"/>
                <c:pt idx="0">
                  <c:v>0.58826570929631317</c:v>
                </c:pt>
                <c:pt idx="1">
                  <c:v>0.59988912208450473</c:v>
                </c:pt>
                <c:pt idx="2">
                  <c:v>0.61180383212595602</c:v>
                </c:pt>
                <c:pt idx="3">
                  <c:v>0.62402088772845976</c:v>
                </c:pt>
                <c:pt idx="4">
                  <c:v>0.63655190266632133</c:v>
                </c:pt>
                <c:pt idx="5">
                  <c:v>0.64940909282079307</c:v>
                </c:pt>
                <c:pt idx="6">
                  <c:v>0.66260531570685677</c:v>
                </c:pt>
                <c:pt idx="7">
                  <c:v>0.6761541131551545</c:v>
                </c:pt>
                <c:pt idx="8">
                  <c:v>0.6900697574468555</c:v>
                </c:pt>
                <c:pt idx="9">
                  <c:v>0.70436730123180291</c:v>
                </c:pt>
                <c:pt idx="10">
                  <c:v>0.71906263159691819</c:v>
                </c:pt>
                <c:pt idx="11">
                  <c:v>0.73417252869307681</c:v>
                </c:pt>
                <c:pt idx="12">
                  <c:v>0.74971472937522787</c:v>
                </c:pt>
                <c:pt idx="13">
                  <c:v>0.76570799636311426</c:v>
                </c:pt>
                <c:pt idx="14">
                  <c:v>0.78217219348950418</c:v>
                </c:pt>
                <c:pt idx="15">
                  <c:v>0.7991283676703651</c:v>
                </c:pt>
                <c:pt idx="16">
                  <c:v>0.81659883830811342</c:v>
                </c:pt>
                <c:pt idx="17">
                  <c:v>0.83460729492638419</c:v>
                </c:pt>
                <c:pt idx="18">
                  <c:v>0.85317890393429396</c:v>
                </c:pt>
                <c:pt idx="19">
                  <c:v>0.87234042553191515</c:v>
                </c:pt>
                <c:pt idx="20">
                  <c:v>0.89212034189886646</c:v>
                </c:pt>
                <c:pt idx="21">
                  <c:v>0.91254899795726885</c:v>
                </c:pt>
                <c:pt idx="22">
                  <c:v>0.93365875617201455</c:v>
                </c:pt>
                <c:pt idx="23">
                  <c:v>0.95548416704910533</c:v>
                </c:pt>
                <c:pt idx="24">
                  <c:v>0.97806215722120715</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Cache>
            </c:numRef>
          </c:xVal>
          <c:yVal>
            <c:numRef>
              <c:f>WatLimNI!$M$26:$M$125</c:f>
              <c:numCache>
                <c:formatCode>"$"#,##0</c:formatCode>
                <c:ptCount val="100"/>
                <c:pt idx="0">
                  <c:v>113.40380190862524</c:v>
                </c:pt>
                <c:pt idx="1">
                  <c:v>110.20237023024487</c:v>
                </c:pt>
                <c:pt idx="2">
                  <c:v>106.92070667234643</c:v>
                </c:pt>
                <c:pt idx="3">
                  <c:v>103.55576820417771</c:v>
                </c:pt>
                <c:pt idx="4">
                  <c:v>100.1043560487836</c:v>
                </c:pt>
                <c:pt idx="5">
                  <c:v>96.563105591146694</c:v>
                </c:pt>
                <c:pt idx="6">
                  <c:v>92.928475491342297</c:v>
                </c:pt>
                <c:pt idx="7">
                  <c:v>89.19673592867224</c:v>
                </c:pt>
                <c:pt idx="8">
                  <c:v>85.36395589475795</c:v>
                </c:pt>
                <c:pt idx="9">
                  <c:v>81.425989444606373</c:v>
                </c:pt>
                <c:pt idx="10">
                  <c:v>77.378460804572185</c:v>
                </c:pt>
                <c:pt idx="11">
                  <c:v>73.216748224782094</c:v>
                </c:pt>
                <c:pt idx="12">
                  <c:v>68.93596645076363</c:v>
                </c:pt>
                <c:pt idx="13">
                  <c:v>64.530947674537174</c:v>
                </c:pt>
                <c:pt idx="14">
                  <c:v>59.996220809027257</c:v>
                </c:pt>
                <c:pt idx="15">
                  <c:v>55.325988911052193</c:v>
                </c:pt>
                <c:pt idx="16">
                  <c:v>50.51410455702473</c:v>
                </c:pt>
                <c:pt idx="17">
                  <c:v>45.554042951448672</c:v>
                </c:pt>
                <c:pt idx="18">
                  <c:v>40.438872520882974</c:v>
                </c:pt>
                <c:pt idx="19">
                  <c:v>35.161222714716317</c:v>
                </c:pt>
                <c:pt idx="20">
                  <c:v>29.713248698237749</c:v>
                </c:pt>
                <c:pt idx="21">
                  <c:v>24.086592582355106</c:v>
                </c:pt>
                <c:pt idx="22">
                  <c:v>18.272340787022287</c:v>
                </c:pt>
                <c:pt idx="23">
                  <c:v>12.260977080953893</c:v>
                </c:pt>
                <c:pt idx="24">
                  <c:v>6.0423307773002835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1"/>
          <c:extLst>
            <c:ext xmlns:c16="http://schemas.microsoft.com/office/drawing/2014/chart" uri="{C3380CC4-5D6E-409C-BE32-E72D297353CC}">
              <c16:uniqueId val="{00000003-3CFC-437B-9EBC-74913B5DDE69}"/>
            </c:ext>
          </c:extLst>
        </c:ser>
        <c:dLbls>
          <c:showLegendKey val="0"/>
          <c:showVal val="0"/>
          <c:showCatName val="0"/>
          <c:showSerName val="0"/>
          <c:showPercent val="0"/>
          <c:showBubbleSize val="0"/>
        </c:dLbls>
        <c:axId val="54024832"/>
        <c:axId val="54043776"/>
      </c:scatterChart>
      <c:scatterChart>
        <c:scatterStyle val="smoothMarker"/>
        <c:varyColors val="0"/>
        <c:ser>
          <c:idx val="7"/>
          <c:order val="7"/>
          <c:tx>
            <c:v>Irrigation Depth</c:v>
          </c:tx>
          <c:spPr>
            <a:ln>
              <a:solidFill>
                <a:schemeClr val="tx1"/>
              </a:solidFill>
              <a:prstDash val="sysDot"/>
            </a:ln>
          </c:spPr>
          <c:marker>
            <c:symbol val="none"/>
          </c:marker>
          <c:xVal>
            <c:numRef>
              <c:f>WatLimNI!$J$25:$J$125</c:f>
              <c:numCache>
                <c:formatCode>0.000</c:formatCode>
                <c:ptCount val="101"/>
                <c:pt idx="0">
                  <c:v>0.57692307692307687</c:v>
                </c:pt>
                <c:pt idx="1">
                  <c:v>0.58826570929631317</c:v>
                </c:pt>
                <c:pt idx="2">
                  <c:v>0.59988912208450473</c:v>
                </c:pt>
                <c:pt idx="3">
                  <c:v>0.61180383212595602</c:v>
                </c:pt>
                <c:pt idx="4">
                  <c:v>0.62402088772845976</c:v>
                </c:pt>
                <c:pt idx="5">
                  <c:v>0.63655190266632133</c:v>
                </c:pt>
                <c:pt idx="6">
                  <c:v>0.64940909282079307</c:v>
                </c:pt>
                <c:pt idx="7">
                  <c:v>0.66260531570685677</c:v>
                </c:pt>
                <c:pt idx="8">
                  <c:v>0.6761541131551545</c:v>
                </c:pt>
                <c:pt idx="9">
                  <c:v>0.6900697574468555</c:v>
                </c:pt>
                <c:pt idx="10">
                  <c:v>0.70436730123180291</c:v>
                </c:pt>
                <c:pt idx="11">
                  <c:v>0.71906263159691819</c:v>
                </c:pt>
                <c:pt idx="12">
                  <c:v>0.73417252869307681</c:v>
                </c:pt>
                <c:pt idx="13">
                  <c:v>0.74971472937522787</c:v>
                </c:pt>
                <c:pt idx="14">
                  <c:v>0.76570799636311426</c:v>
                </c:pt>
                <c:pt idx="15">
                  <c:v>0.78217219348950418</c:v>
                </c:pt>
                <c:pt idx="16">
                  <c:v>0.7991283676703651</c:v>
                </c:pt>
                <c:pt idx="17">
                  <c:v>0.81659883830811342</c:v>
                </c:pt>
                <c:pt idx="18">
                  <c:v>0.83460729492638419</c:v>
                </c:pt>
                <c:pt idx="19">
                  <c:v>0.85317890393429396</c:v>
                </c:pt>
                <c:pt idx="20">
                  <c:v>0.87234042553191515</c:v>
                </c:pt>
                <c:pt idx="21">
                  <c:v>0.89212034189886646</c:v>
                </c:pt>
                <c:pt idx="22">
                  <c:v>0.91254899795726885</c:v>
                </c:pt>
                <c:pt idx="23">
                  <c:v>0.93365875617201455</c:v>
                </c:pt>
                <c:pt idx="24">
                  <c:v>0.95548416704910533</c:v>
                </c:pt>
                <c:pt idx="25">
                  <c:v>0.97806215722120715</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numCache>
            </c:numRef>
          </c:xVal>
          <c:yVal>
            <c:numRef>
              <c:f>WatLimNI!$D$25:$D$125</c:f>
              <c:numCache>
                <c:formatCode>0</c:formatCode>
                <c:ptCount val="101"/>
                <c:pt idx="0">
                  <c:v>520</c:v>
                </c:pt>
                <c:pt idx="1">
                  <c:v>509.97363140350592</c:v>
                </c:pt>
                <c:pt idx="2">
                  <c:v>500.09241534094667</c:v>
                </c:pt>
                <c:pt idx="3">
                  <c:v>490.35325417549376</c:v>
                </c:pt>
                <c:pt idx="4">
                  <c:v>480.75313807531364</c:v>
                </c:pt>
                <c:pt idx="5">
                  <c:v>471.28914192761295</c:v>
                </c:pt>
                <c:pt idx="6">
                  <c:v>461.95842238197019</c:v>
                </c:pt>
                <c:pt idx="7">
                  <c:v>452.75821501667974</c:v>
                </c:pt>
                <c:pt idx="8">
                  <c:v>443.68583162217658</c:v>
                </c:pt>
                <c:pt idx="9">
                  <c:v>434.7386575959373</c:v>
                </c:pt>
                <c:pt idx="10">
                  <c:v>425.9141494435612</c:v>
                </c:pt>
                <c:pt idx="11">
                  <c:v>417.20983238101252</c:v>
                </c:pt>
                <c:pt idx="12">
                  <c:v>408.62329803328282</c:v>
                </c:pt>
                <c:pt idx="13">
                  <c:v>400.15220222497686</c:v>
                </c:pt>
                <c:pt idx="14">
                  <c:v>391.79426285857136</c:v>
                </c:pt>
                <c:pt idx="15">
                  <c:v>383.5472578763127</c:v>
                </c:pt>
                <c:pt idx="16">
                  <c:v>375.4090233019333</c:v>
                </c:pt>
                <c:pt idx="17">
                  <c:v>367.37745135856545</c:v>
                </c:pt>
                <c:pt idx="18">
                  <c:v>359.45048865941345</c:v>
                </c:pt>
                <c:pt idx="19">
                  <c:v>351.62613446792864</c:v>
                </c:pt>
                <c:pt idx="20">
                  <c:v>343.90243902439016</c:v>
                </c:pt>
                <c:pt idx="21">
                  <c:v>336.27750193595398</c:v>
                </c:pt>
                <c:pt idx="22">
                  <c:v>328.74947062738198</c:v>
                </c:pt>
                <c:pt idx="23">
                  <c:v>321.31653884979886</c:v>
                </c:pt>
                <c:pt idx="24">
                  <c:v>313.97694524495671</c:v>
                </c:pt>
                <c:pt idx="25">
                  <c:v>306.72897196261664</c:v>
                </c:pt>
                <c:pt idx="26">
                  <c:v>299.57094332876454</c:v>
                </c:pt>
                <c:pt idx="27">
                  <c:v>292.50122456249687</c:v>
                </c:pt>
                <c:pt idx="28">
                  <c:v>285.51822053951719</c:v>
                </c:pt>
                <c:pt idx="29">
                  <c:v>278.62037460027392</c:v>
                </c:pt>
                <c:pt idx="30">
                  <c:v>271.8061674008809</c:v>
                </c:pt>
                <c:pt idx="31">
                  <c:v>265.07411580503071</c:v>
                </c:pt>
                <c:pt idx="32">
                  <c:v>258.42277181521217</c:v>
                </c:pt>
                <c:pt idx="33">
                  <c:v>251.85072154161386</c:v>
                </c:pt>
                <c:pt idx="34">
                  <c:v>245.35658420717201</c:v>
                </c:pt>
                <c:pt idx="35">
                  <c:v>238.93901118729667</c:v>
                </c:pt>
                <c:pt idx="36">
                  <c:v>232.59668508287274</c:v>
                </c:pt>
                <c:pt idx="37">
                  <c:v>226.32831882519955</c:v>
                </c:pt>
                <c:pt idx="38">
                  <c:v>220.13265481159561</c:v>
                </c:pt>
                <c:pt idx="39">
                  <c:v>214.00846407044824</c:v>
                </c:pt>
                <c:pt idx="40">
                  <c:v>207.95454545454515</c:v>
                </c:pt>
                <c:pt idx="41">
                  <c:v>201.969724861581</c:v>
                </c:pt>
                <c:pt idx="42">
                  <c:v>196.05285448077228</c:v>
                </c:pt>
                <c:pt idx="43">
                  <c:v>190.20281206457301</c:v>
                </c:pt>
                <c:pt idx="44">
                  <c:v>184.41850022451706</c:v>
                </c:pt>
                <c:pt idx="45">
                  <c:v>178.69884575026219</c:v>
                </c:pt>
                <c:pt idx="46">
                  <c:v>173.0427989509511</c:v>
                </c:pt>
                <c:pt idx="47">
                  <c:v>167.44933301804099</c:v>
                </c:pt>
                <c:pt idx="48">
                  <c:v>161.91744340878802</c:v>
                </c:pt>
                <c:pt idx="49">
                  <c:v>156.44614724961596</c:v>
                </c:pt>
                <c:pt idx="50">
                  <c:v>151.0344827586205</c:v>
                </c:pt>
                <c:pt idx="51">
                  <c:v>145.68150868650156</c:v>
                </c:pt>
                <c:pt idx="52">
                  <c:v>140.38630377524117</c:v>
                </c:pt>
                <c:pt idx="53">
                  <c:v>135.14796623387258</c:v>
                </c:pt>
                <c:pt idx="54">
                  <c:v>129.96561323071856</c:v>
                </c:pt>
                <c:pt idx="55">
                  <c:v>124.83838040149691</c:v>
                </c:pt>
                <c:pt idx="56">
                  <c:v>119.76542137271912</c:v>
                </c:pt>
                <c:pt idx="57">
                  <c:v>114.74590729983314</c:v>
                </c:pt>
                <c:pt idx="58">
                  <c:v>109.77902641957948</c:v>
                </c:pt>
                <c:pt idx="59">
                  <c:v>104.86398361605485</c:v>
                </c:pt>
                <c:pt idx="60">
                  <c:v>99.999999999999716</c:v>
                </c:pt>
                <c:pt idx="61">
                  <c:v>95.186312500837786</c:v>
                </c:pt>
                <c:pt idx="62">
                  <c:v>90.422173471025488</c:v>
                </c:pt>
                <c:pt idx="63">
                  <c:v>85.706850302277886</c:v>
                </c:pt>
                <c:pt idx="64">
                  <c:v>81.039625053259186</c:v>
                </c:pt>
                <c:pt idx="65">
                  <c:v>76.419794088342471</c:v>
                </c:pt>
                <c:pt idx="66">
                  <c:v>71.846667727055618</c:v>
                </c:pt>
                <c:pt idx="67">
                  <c:v>67.319569903849683</c:v>
                </c:pt>
                <c:pt idx="68">
                  <c:v>62.837837837837519</c:v>
                </c:pt>
                <c:pt idx="69">
                  <c:v>58.400821712163435</c:v>
                </c:pt>
                <c:pt idx="70">
                  <c:v>54.007884362680414</c:v>
                </c:pt>
                <c:pt idx="71">
                  <c:v>49.658400975622342</c:v>
                </c:pt>
                <c:pt idx="72">
                  <c:v>45.351758793969537</c:v>
                </c:pt>
                <c:pt idx="73">
                  <c:v>41.087356832220799</c:v>
                </c:pt>
                <c:pt idx="74">
                  <c:v>36.864605599290755</c:v>
                </c:pt>
                <c:pt idx="75">
                  <c:v>32.682926829267963</c:v>
                </c:pt>
                <c:pt idx="76">
                  <c:v>28.541753219775423</c:v>
                </c:pt>
                <c:pt idx="77">
                  <c:v>24.440528177683017</c:v>
                </c:pt>
                <c:pt idx="78">
                  <c:v>20.378705571938237</c:v>
                </c:pt>
                <c:pt idx="79">
                  <c:v>16.355749493280086</c:v>
                </c:pt>
                <c:pt idx="80">
                  <c:v>12.371134020618292</c:v>
                </c:pt>
                <c:pt idx="81">
                  <c:v>8.4243429938638066</c:v>
                </c:pt>
                <c:pt idx="82">
                  <c:v>4.5148697930040393</c:v>
                </c:pt>
                <c:pt idx="83">
                  <c:v>0.64221712322588975</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1"/>
          <c:extLst>
            <c:ext xmlns:c16="http://schemas.microsoft.com/office/drawing/2014/chart" uri="{C3380CC4-5D6E-409C-BE32-E72D297353CC}">
              <c16:uniqueId val="{00000002-6BD9-4694-B9A1-C45A557C9F7D}"/>
            </c:ext>
          </c:extLst>
        </c:ser>
        <c:dLbls>
          <c:showLegendKey val="0"/>
          <c:showVal val="0"/>
          <c:showCatName val="0"/>
          <c:showSerName val="0"/>
          <c:showPercent val="0"/>
          <c:showBubbleSize val="0"/>
        </c:dLbls>
        <c:axId val="1281791439"/>
        <c:axId val="1281797679"/>
      </c:scatterChart>
      <c:valAx>
        <c:axId val="54024832"/>
        <c:scaling>
          <c:orientation val="minMax"/>
          <c:max val="1"/>
          <c:min val="0.5"/>
        </c:scaling>
        <c:delete val="0"/>
        <c:axPos val="b"/>
        <c:title>
          <c:tx>
            <c:rich>
              <a:bodyPr/>
              <a:lstStyle/>
              <a:p>
                <a:pPr>
                  <a:defRPr sz="1400"/>
                </a:pPr>
                <a:r>
                  <a:rPr lang="en-US" sz="1400"/>
                  <a:t>Relative Irrigated Area, </a:t>
                </a:r>
                <a:r>
                  <a:rPr lang="en-US" sz="1400" i="1"/>
                  <a:t>Ai</a:t>
                </a:r>
              </a:p>
            </c:rich>
          </c:tx>
          <c:layout>
            <c:manualLayout>
              <c:xMode val="edge"/>
              <c:yMode val="edge"/>
              <c:x val="0.27783682786167302"/>
              <c:y val="0.92363883086042819"/>
            </c:manualLayout>
          </c:layout>
          <c:overlay val="0"/>
        </c:title>
        <c:numFmt formatCode="0.0" sourceLinked="0"/>
        <c:majorTickMark val="out"/>
        <c:minorTickMark val="out"/>
        <c:tickLblPos val="nextTo"/>
        <c:txPr>
          <a:bodyPr/>
          <a:lstStyle/>
          <a:p>
            <a:pPr>
              <a:defRPr sz="1100" b="1"/>
            </a:pPr>
            <a:endParaRPr lang="en-US"/>
          </a:p>
        </c:txPr>
        <c:crossAx val="54043776"/>
        <c:crossesAt val="-200"/>
        <c:crossBetween val="midCat"/>
        <c:majorUnit val="0.1"/>
        <c:minorUnit val="5.000000000000001E-2"/>
      </c:valAx>
      <c:valAx>
        <c:axId val="54043776"/>
        <c:scaling>
          <c:orientation val="minMax"/>
          <c:min val="0"/>
        </c:scaling>
        <c:delete val="0"/>
        <c:axPos val="l"/>
        <c:majorGridlines/>
        <c:title>
          <c:tx>
            <c:rich>
              <a:bodyPr rot="-5400000" vert="horz"/>
              <a:lstStyle/>
              <a:p>
                <a:pPr>
                  <a:defRPr sz="1400"/>
                </a:pPr>
                <a:r>
                  <a:rPr lang="en-US" sz="1400"/>
                  <a:t>Net Income ($/ha)</a:t>
                </a:r>
              </a:p>
            </c:rich>
          </c:tx>
          <c:overlay val="0"/>
        </c:title>
        <c:numFmt formatCode="&quot;$&quot;#,##0" sourceLinked="1"/>
        <c:majorTickMark val="out"/>
        <c:minorTickMark val="none"/>
        <c:tickLblPos val="nextTo"/>
        <c:txPr>
          <a:bodyPr/>
          <a:lstStyle/>
          <a:p>
            <a:pPr>
              <a:defRPr sz="1050" b="1"/>
            </a:pPr>
            <a:endParaRPr lang="en-US"/>
          </a:p>
        </c:txPr>
        <c:crossAx val="54024832"/>
        <c:crossesAt val="-200"/>
        <c:crossBetween val="midCat"/>
      </c:valAx>
      <c:valAx>
        <c:axId val="1281797679"/>
        <c:scaling>
          <c:orientation val="minMax"/>
          <c:min val="0"/>
        </c:scaling>
        <c:delete val="0"/>
        <c:axPos val="r"/>
        <c:title>
          <c:tx>
            <c:rich>
              <a:bodyPr/>
              <a:lstStyle/>
              <a:p>
                <a:pPr>
                  <a:defRPr sz="1400"/>
                </a:pPr>
                <a:r>
                  <a:rPr lang="en-US" sz="1400"/>
                  <a:t>Irrigation Depth (mm)</a:t>
                </a:r>
              </a:p>
            </c:rich>
          </c:tx>
          <c:overlay val="0"/>
        </c:title>
        <c:numFmt formatCode="0" sourceLinked="1"/>
        <c:majorTickMark val="out"/>
        <c:minorTickMark val="none"/>
        <c:tickLblPos val="nextTo"/>
        <c:txPr>
          <a:bodyPr/>
          <a:lstStyle/>
          <a:p>
            <a:pPr>
              <a:defRPr sz="1050" b="1"/>
            </a:pPr>
            <a:endParaRPr lang="en-US"/>
          </a:p>
        </c:txPr>
        <c:crossAx val="1281791439"/>
        <c:crosses val="max"/>
        <c:crossBetween val="midCat"/>
      </c:valAx>
      <c:valAx>
        <c:axId val="1281791439"/>
        <c:scaling>
          <c:orientation val="minMax"/>
        </c:scaling>
        <c:delete val="1"/>
        <c:axPos val="b"/>
        <c:numFmt formatCode="0.000" sourceLinked="1"/>
        <c:majorTickMark val="out"/>
        <c:minorTickMark val="none"/>
        <c:tickLblPos val="nextTo"/>
        <c:crossAx val="1281797679"/>
        <c:crosses val="autoZero"/>
        <c:crossBetween val="midCat"/>
      </c:valAx>
      <c:spPr>
        <a:ln>
          <a:solidFill>
            <a:schemeClr val="tx1"/>
          </a:solidFill>
        </a:ln>
      </c:spPr>
    </c:plotArea>
    <c:legend>
      <c:legendPos val="r"/>
      <c:layout>
        <c:manualLayout>
          <c:xMode val="edge"/>
          <c:yMode val="edge"/>
          <c:x val="0.50850586230424655"/>
          <c:y val="0.4408134697448533"/>
          <c:w val="0.2884928141986618"/>
          <c:h val="0.28674868022449573"/>
        </c:manualLayout>
      </c:layout>
      <c:overlay val="0"/>
      <c:spPr>
        <a:solidFill>
          <a:schemeClr val="bg1"/>
        </a:solidFill>
        <a:ln>
          <a:solidFill>
            <a:schemeClr val="tx1"/>
          </a:solidFill>
        </a:ln>
      </c:spPr>
      <c:txPr>
        <a:bodyPr/>
        <a:lstStyle/>
        <a:p>
          <a:pPr>
            <a:defRPr sz="1050" b="1"/>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51965540311025"/>
          <c:y val="8.2565573343067231E-2"/>
          <c:w val="0.71563384534516883"/>
          <c:h val="0.77502123492841546"/>
        </c:manualLayout>
      </c:layout>
      <c:scatterChart>
        <c:scatterStyle val="smoothMarker"/>
        <c:varyColors val="0"/>
        <c:ser>
          <c:idx val="0"/>
          <c:order val="0"/>
          <c:tx>
            <c:strRef>
              <c:f>WatLimNI!$N$22</c:f>
              <c:strCache>
                <c:ptCount val="1"/>
                <c:pt idx="0">
                  <c:v>NI Total</c:v>
                </c:pt>
              </c:strCache>
            </c:strRef>
          </c:tx>
          <c:spPr>
            <a:ln w="34925">
              <a:solidFill>
                <a:schemeClr val="tx1"/>
              </a:solidFill>
            </a:ln>
          </c:spPr>
          <c:marker>
            <c:symbol val="none"/>
          </c:marker>
          <c:xVal>
            <c:numRef>
              <c:f>WatLimNI!$D$25:$D$125</c:f>
              <c:numCache>
                <c:formatCode>0</c:formatCode>
                <c:ptCount val="101"/>
                <c:pt idx="0">
                  <c:v>520</c:v>
                </c:pt>
                <c:pt idx="1">
                  <c:v>509.97363140350592</c:v>
                </c:pt>
                <c:pt idx="2">
                  <c:v>500.09241534094667</c:v>
                </c:pt>
                <c:pt idx="3">
                  <c:v>490.35325417549376</c:v>
                </c:pt>
                <c:pt idx="4">
                  <c:v>480.75313807531364</c:v>
                </c:pt>
                <c:pt idx="5">
                  <c:v>471.28914192761295</c:v>
                </c:pt>
                <c:pt idx="6">
                  <c:v>461.95842238197019</c:v>
                </c:pt>
                <c:pt idx="7">
                  <c:v>452.75821501667974</c:v>
                </c:pt>
                <c:pt idx="8">
                  <c:v>443.68583162217658</c:v>
                </c:pt>
                <c:pt idx="9">
                  <c:v>434.7386575959373</c:v>
                </c:pt>
                <c:pt idx="10">
                  <c:v>425.9141494435612</c:v>
                </c:pt>
                <c:pt idx="11">
                  <c:v>417.20983238101252</c:v>
                </c:pt>
                <c:pt idx="12">
                  <c:v>408.62329803328282</c:v>
                </c:pt>
                <c:pt idx="13">
                  <c:v>400.15220222497686</c:v>
                </c:pt>
                <c:pt idx="14">
                  <c:v>391.79426285857136</c:v>
                </c:pt>
                <c:pt idx="15">
                  <c:v>383.5472578763127</c:v>
                </c:pt>
                <c:pt idx="16">
                  <c:v>375.4090233019333</c:v>
                </c:pt>
                <c:pt idx="17">
                  <c:v>367.37745135856545</c:v>
                </c:pt>
                <c:pt idx="18">
                  <c:v>359.45048865941345</c:v>
                </c:pt>
                <c:pt idx="19">
                  <c:v>351.62613446792864</c:v>
                </c:pt>
                <c:pt idx="20">
                  <c:v>343.90243902439016</c:v>
                </c:pt>
                <c:pt idx="21">
                  <c:v>336.27750193595398</c:v>
                </c:pt>
                <c:pt idx="22">
                  <c:v>328.74947062738198</c:v>
                </c:pt>
                <c:pt idx="23">
                  <c:v>321.31653884979886</c:v>
                </c:pt>
                <c:pt idx="24">
                  <c:v>313.97694524495671</c:v>
                </c:pt>
                <c:pt idx="25">
                  <c:v>306.72897196261664</c:v>
                </c:pt>
                <c:pt idx="26">
                  <c:v>299.57094332876454</c:v>
                </c:pt>
                <c:pt idx="27">
                  <c:v>292.50122456249687</c:v>
                </c:pt>
                <c:pt idx="28">
                  <c:v>285.51822053951719</c:v>
                </c:pt>
                <c:pt idx="29">
                  <c:v>278.62037460027392</c:v>
                </c:pt>
                <c:pt idx="30">
                  <c:v>271.8061674008809</c:v>
                </c:pt>
                <c:pt idx="31">
                  <c:v>265.07411580503071</c:v>
                </c:pt>
                <c:pt idx="32">
                  <c:v>258.42277181521217</c:v>
                </c:pt>
                <c:pt idx="33">
                  <c:v>251.85072154161386</c:v>
                </c:pt>
                <c:pt idx="34">
                  <c:v>245.35658420717201</c:v>
                </c:pt>
                <c:pt idx="35">
                  <c:v>238.93901118729667</c:v>
                </c:pt>
                <c:pt idx="36">
                  <c:v>232.59668508287274</c:v>
                </c:pt>
                <c:pt idx="37">
                  <c:v>226.32831882519955</c:v>
                </c:pt>
                <c:pt idx="38">
                  <c:v>220.13265481159561</c:v>
                </c:pt>
                <c:pt idx="39">
                  <c:v>214.00846407044824</c:v>
                </c:pt>
                <c:pt idx="40">
                  <c:v>207.95454545454515</c:v>
                </c:pt>
                <c:pt idx="41">
                  <c:v>201.969724861581</c:v>
                </c:pt>
                <c:pt idx="42">
                  <c:v>196.05285448077228</c:v>
                </c:pt>
                <c:pt idx="43">
                  <c:v>190.20281206457301</c:v>
                </c:pt>
                <c:pt idx="44">
                  <c:v>184.41850022451706</c:v>
                </c:pt>
                <c:pt idx="45">
                  <c:v>178.69884575026219</c:v>
                </c:pt>
                <c:pt idx="46">
                  <c:v>173.0427989509511</c:v>
                </c:pt>
                <c:pt idx="47">
                  <c:v>167.44933301804099</c:v>
                </c:pt>
                <c:pt idx="48">
                  <c:v>161.91744340878802</c:v>
                </c:pt>
                <c:pt idx="49">
                  <c:v>156.44614724961596</c:v>
                </c:pt>
                <c:pt idx="50">
                  <c:v>151.0344827586205</c:v>
                </c:pt>
                <c:pt idx="51">
                  <c:v>145.68150868650156</c:v>
                </c:pt>
                <c:pt idx="52">
                  <c:v>140.38630377524117</c:v>
                </c:pt>
                <c:pt idx="53">
                  <c:v>135.14796623387258</c:v>
                </c:pt>
                <c:pt idx="54">
                  <c:v>129.96561323071856</c:v>
                </c:pt>
                <c:pt idx="55">
                  <c:v>124.83838040149691</c:v>
                </c:pt>
                <c:pt idx="56">
                  <c:v>119.76542137271912</c:v>
                </c:pt>
                <c:pt idx="57">
                  <c:v>114.74590729983314</c:v>
                </c:pt>
                <c:pt idx="58">
                  <c:v>109.77902641957948</c:v>
                </c:pt>
                <c:pt idx="59">
                  <c:v>104.86398361605485</c:v>
                </c:pt>
                <c:pt idx="60">
                  <c:v>99.999999999999716</c:v>
                </c:pt>
                <c:pt idx="61">
                  <c:v>95.186312500837786</c:v>
                </c:pt>
                <c:pt idx="62">
                  <c:v>90.422173471025488</c:v>
                </c:pt>
                <c:pt idx="63">
                  <c:v>85.706850302277886</c:v>
                </c:pt>
                <c:pt idx="64">
                  <c:v>81.039625053259186</c:v>
                </c:pt>
                <c:pt idx="65">
                  <c:v>76.419794088342471</c:v>
                </c:pt>
                <c:pt idx="66">
                  <c:v>71.846667727055618</c:v>
                </c:pt>
                <c:pt idx="67">
                  <c:v>67.319569903849683</c:v>
                </c:pt>
                <c:pt idx="68">
                  <c:v>62.837837837837519</c:v>
                </c:pt>
                <c:pt idx="69">
                  <c:v>58.400821712163435</c:v>
                </c:pt>
                <c:pt idx="70">
                  <c:v>54.007884362680414</c:v>
                </c:pt>
                <c:pt idx="71">
                  <c:v>49.658400975622342</c:v>
                </c:pt>
                <c:pt idx="72">
                  <c:v>45.351758793969537</c:v>
                </c:pt>
                <c:pt idx="73">
                  <c:v>41.087356832220799</c:v>
                </c:pt>
                <c:pt idx="74">
                  <c:v>36.864605599290755</c:v>
                </c:pt>
                <c:pt idx="75">
                  <c:v>32.682926829267963</c:v>
                </c:pt>
                <c:pt idx="76">
                  <c:v>28.541753219775423</c:v>
                </c:pt>
                <c:pt idx="77">
                  <c:v>24.440528177683017</c:v>
                </c:pt>
                <c:pt idx="78">
                  <c:v>20.378705571938237</c:v>
                </c:pt>
                <c:pt idx="79">
                  <c:v>16.355749493280086</c:v>
                </c:pt>
                <c:pt idx="80">
                  <c:v>12.371134020618292</c:v>
                </c:pt>
                <c:pt idx="81">
                  <c:v>8.4243429938638066</c:v>
                </c:pt>
                <c:pt idx="82">
                  <c:v>4.5148697930040393</c:v>
                </c:pt>
                <c:pt idx="83">
                  <c:v>0.64221712322588975</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WatLimNI!$N$25:$N$125</c:f>
              <c:numCache>
                <c:formatCode>"$"#,##0</c:formatCode>
                <c:ptCount val="101"/>
                <c:pt idx="0">
                  <c:v>616.72020604813054</c:v>
                </c:pt>
                <c:pt idx="1">
                  <c:v>617.30483782577255</c:v>
                </c:pt>
                <c:pt idx="2">
                  <c:v>617.77868256480372</c:v>
                </c:pt>
                <c:pt idx="3">
                  <c:v>618.13754500999153</c:v>
                </c:pt>
                <c:pt idx="4">
                  <c:v>618.37701745101458</c:v>
                </c:pt>
                <c:pt idx="5">
                  <c:v>618.49246612664217</c:v>
                </c:pt>
                <c:pt idx="6">
                  <c:v>618.47901657169962</c:v>
                </c:pt>
                <c:pt idx="7">
                  <c:v>618.33153780965529</c:v>
                </c:pt>
                <c:pt idx="8">
                  <c:v>618.04462528332988</c:v>
                </c:pt>
                <c:pt idx="9">
                  <c:v>617.61258240462223</c:v>
                </c:pt>
                <c:pt idx="10">
                  <c:v>617.0294005911303</c:v>
                </c:pt>
                <c:pt idx="11">
                  <c:v>616.28873764290188</c:v>
                </c:pt>
                <c:pt idx="12">
                  <c:v>615.38389429603774</c:v>
                </c:pt>
                <c:pt idx="13">
                  <c:v>614.30778877127796</c:v>
                </c:pt>
                <c:pt idx="14">
                  <c:v>613.05292911464062</c:v>
                </c:pt>
                <c:pt idx="15">
                  <c:v>611.61138310338038</c:v>
                </c:pt>
                <c:pt idx="16">
                  <c:v>609.9747454635334</c:v>
                </c:pt>
                <c:pt idx="17">
                  <c:v>608.13410211462246</c:v>
                </c:pt>
                <c:pt idx="18">
                  <c:v>606.07999112219227</c:v>
                </c:pt>
                <c:pt idx="19">
                  <c:v>603.80235999902391</c:v>
                </c:pt>
                <c:pt idx="20">
                  <c:v>601.29051895039527</c:v>
                </c:pt>
                <c:pt idx="21">
                  <c:v>598.53308960668926</c:v>
                </c:pt>
                <c:pt idx="22">
                  <c:v>595.51794872690107</c:v>
                </c:pt>
                <c:pt idx="23">
                  <c:v>592.23216628795228</c:v>
                </c:pt>
                <c:pt idx="24">
                  <c:v>588.66193729558995</c:v>
                </c:pt>
                <c:pt idx="25">
                  <c:v>584.79250656129693</c:v>
                </c:pt>
                <c:pt idx="26">
                  <c:v>580.17162266849368</c:v>
                </c:pt>
                <c:pt idx="27">
                  <c:v>568.57643325192385</c:v>
                </c:pt>
                <c:pt idx="28">
                  <c:v>556.94655793803895</c:v>
                </c:pt>
                <c:pt idx="29">
                  <c:v>545.28261939065942</c:v>
                </c:pt>
                <c:pt idx="30">
                  <c:v>533.58522534733902</c:v>
                </c:pt>
                <c:pt idx="31">
                  <c:v>521.85496906260255</c:v>
                </c:pt>
                <c:pt idx="32">
                  <c:v>510.09242973545292</c:v>
                </c:pt>
                <c:pt idx="33">
                  <c:v>498.29817292181542</c:v>
                </c:pt>
                <c:pt idx="34">
                  <c:v>486.47275093251528</c:v>
                </c:pt>
                <c:pt idx="35">
                  <c:v>474.61670321738848</c:v>
                </c:pt>
                <c:pt idx="36">
                  <c:v>462.73055673608133</c:v>
                </c:pt>
                <c:pt idx="37">
                  <c:v>450.81482631607309</c:v>
                </c:pt>
                <c:pt idx="38">
                  <c:v>438.87001499843791</c:v>
                </c:pt>
                <c:pt idx="39">
                  <c:v>426.89661437182008</c:v>
                </c:pt>
                <c:pt idx="40">
                  <c:v>414.8951048951044</c:v>
                </c:pt>
                <c:pt idx="41">
                  <c:v>402.86595620921298</c:v>
                </c:pt>
                <c:pt idx="42">
                  <c:v>390.80962743845976</c:v>
                </c:pt>
                <c:pt idx="43">
                  <c:v>378.72656748186273</c:v>
                </c:pt>
                <c:pt idx="44">
                  <c:v>366.61721529480792</c:v>
                </c:pt>
                <c:pt idx="45">
                  <c:v>354.48200016143278</c:v>
                </c:pt>
                <c:pt idx="46">
                  <c:v>342.32134195808021</c:v>
                </c:pt>
                <c:pt idx="47">
                  <c:v>330.1356514081674</c:v>
                </c:pt>
                <c:pt idx="48">
                  <c:v>317.92533032879192</c:v>
                </c:pt>
                <c:pt idx="49">
                  <c:v>305.69077186938398</c:v>
                </c:pt>
                <c:pt idx="50">
                  <c:v>293.43236074270476</c:v>
                </c:pt>
                <c:pt idx="51">
                  <c:v>281.15047344847562</c:v>
                </c:pt>
                <c:pt idx="52">
                  <c:v>268.84547848990292</c:v>
                </c:pt>
                <c:pt idx="53">
                  <c:v>256.51773658337333</c:v>
                </c:pt>
                <c:pt idx="54">
                  <c:v>244.16760086155796</c:v>
                </c:pt>
                <c:pt idx="55">
                  <c:v>231.79541707016983</c:v>
                </c:pt>
                <c:pt idx="56">
                  <c:v>219.40152375860407</c:v>
                </c:pt>
                <c:pt idx="57">
                  <c:v>206.98625246468112</c:v>
                </c:pt>
                <c:pt idx="58">
                  <c:v>194.5499278937059</c:v>
                </c:pt>
                <c:pt idx="59">
                  <c:v>182.09286809203877</c:v>
                </c:pt>
                <c:pt idx="60">
                  <c:v>169.61538461538396</c:v>
                </c:pt>
                <c:pt idx="61">
                  <c:v>157.1177826919718</c:v>
                </c:pt>
                <c:pt idx="62">
                  <c:v>144.60036138081989</c:v>
                </c:pt>
                <c:pt idx="63">
                  <c:v>132.06341372524207</c:v>
                </c:pt>
                <c:pt idx="64">
                  <c:v>119.50722690177213</c:v>
                </c:pt>
                <c:pt idx="65">
                  <c:v>106.93208236466194</c:v>
                </c:pt>
                <c:pt idx="66">
                  <c:v>94.338255986099966</c:v>
                </c:pt>
                <c:pt idx="67">
                  <c:v>81.726018192305446</c:v>
                </c:pt>
                <c:pt idx="68">
                  <c:v>69.095634095633386</c:v>
                </c:pt>
                <c:pt idx="69">
                  <c:v>56.44736362282606</c:v>
                </c:pt>
                <c:pt idx="70">
                  <c:v>43.781461639542158</c:v>
                </c:pt>
                <c:pt idx="71">
                  <c:v>31.098178071288658</c:v>
                </c:pt>
                <c:pt idx="72">
                  <c:v>18.397758020872743</c:v>
                </c:pt>
                <c:pt idx="73">
                  <c:v>5.6804418824953018</c:v>
                </c:pt>
                <c:pt idx="74">
                  <c:v>-7.0535345474095266</c:v>
                </c:pt>
                <c:pt idx="75">
                  <c:v>-19.803939962477443</c:v>
                </c:pt>
                <c:pt idx="76">
                  <c:v>-32.570547441757526</c:v>
                </c:pt>
                <c:pt idx="77">
                  <c:v>-45.353134347997184</c:v>
                </c:pt>
                <c:pt idx="78">
                  <c:v>-58.151482228776445</c:v>
                </c:pt>
                <c:pt idx="79">
                  <c:v>-70.965376720390054</c:v>
                </c:pt>
                <c:pt idx="80">
                  <c:v>-83.794607454402239</c:v>
                </c:pt>
                <c:pt idx="81">
                  <c:v>-96.638967966777273</c:v>
                </c:pt>
                <c:pt idx="82">
                  <c:v>-109.49825560951047</c:v>
                </c:pt>
                <c:pt idx="83">
                  <c:v>-122.37227146467615</c:v>
                </c:pt>
                <c:pt idx="84">
                  <c:v>-136.53846153846257</c:v>
                </c:pt>
                <c:pt idx="85">
                  <c:v>-150.9615384615397</c:v>
                </c:pt>
                <c:pt idx="86">
                  <c:v>-165.38461538461661</c:v>
                </c:pt>
                <c:pt idx="87">
                  <c:v>-179.80769230769351</c:v>
                </c:pt>
                <c:pt idx="88">
                  <c:v>-194.23076923077053</c:v>
                </c:pt>
                <c:pt idx="89">
                  <c:v>-208.65384615384744</c:v>
                </c:pt>
                <c:pt idx="90">
                  <c:v>-223.07692307692423</c:v>
                </c:pt>
                <c:pt idx="91">
                  <c:v>-237.50000000000114</c:v>
                </c:pt>
                <c:pt idx="92">
                  <c:v>-251.92307692307816</c:v>
                </c:pt>
                <c:pt idx="93">
                  <c:v>-266.34615384615506</c:v>
                </c:pt>
                <c:pt idx="94">
                  <c:v>-280.76923076923197</c:v>
                </c:pt>
                <c:pt idx="95">
                  <c:v>-295.19230769230904</c:v>
                </c:pt>
                <c:pt idx="96">
                  <c:v>-309.61538461538589</c:v>
                </c:pt>
                <c:pt idx="97">
                  <c:v>-324.0384615384628</c:v>
                </c:pt>
                <c:pt idx="98">
                  <c:v>-338.46153846153982</c:v>
                </c:pt>
                <c:pt idx="99">
                  <c:v>-352.88461538461684</c:v>
                </c:pt>
                <c:pt idx="100">
                  <c:v>-367.30769230769363</c:v>
                </c:pt>
              </c:numCache>
            </c:numRef>
          </c:yVal>
          <c:smooth val="1"/>
          <c:extLst>
            <c:ext xmlns:c16="http://schemas.microsoft.com/office/drawing/2014/chart" uri="{C3380CC4-5D6E-409C-BE32-E72D297353CC}">
              <c16:uniqueId val="{00000000-D95A-4548-B278-9C08062A4C91}"/>
            </c:ext>
          </c:extLst>
        </c:ser>
        <c:ser>
          <c:idx val="1"/>
          <c:order val="1"/>
          <c:tx>
            <c:v>NI max</c:v>
          </c:tx>
          <c:spPr>
            <a:ln>
              <a:noFill/>
            </a:ln>
          </c:spPr>
          <c:marker>
            <c:symbol val="star"/>
            <c:size val="9"/>
            <c:spPr>
              <a:ln>
                <a:solidFill>
                  <a:schemeClr val="tx1"/>
                </a:solidFill>
              </a:ln>
            </c:spPr>
          </c:marker>
          <c:xVal>
            <c:numRef>
              <c:f>WatLimNI!$V$96</c:f>
              <c:numCache>
                <c:formatCode>0</c:formatCode>
                <c:ptCount val="1"/>
                <c:pt idx="0">
                  <c:v>471.28914192761295</c:v>
                </c:pt>
              </c:numCache>
            </c:numRef>
          </c:xVal>
          <c:yVal>
            <c:numRef>
              <c:f>WatLimNI!$V$92</c:f>
              <c:numCache>
                <c:formatCode>"$"#,##0</c:formatCode>
                <c:ptCount val="1"/>
                <c:pt idx="0">
                  <c:v>618.49246612664217</c:v>
                </c:pt>
              </c:numCache>
            </c:numRef>
          </c:yVal>
          <c:smooth val="1"/>
          <c:extLst>
            <c:ext xmlns:c16="http://schemas.microsoft.com/office/drawing/2014/chart" uri="{C3380CC4-5D6E-409C-BE32-E72D297353CC}">
              <c16:uniqueId val="{00000000-BAFE-4E80-9575-A7BCDF8E45BC}"/>
            </c:ext>
          </c:extLst>
        </c:ser>
        <c:ser>
          <c:idx val="7"/>
          <c:order val="2"/>
          <c:tx>
            <c:v>NI max model</c:v>
          </c:tx>
          <c:spPr>
            <a:ln>
              <a:noFill/>
            </a:ln>
          </c:spPr>
          <c:marker>
            <c:symbol val="circle"/>
            <c:size val="7"/>
            <c:spPr>
              <a:solidFill>
                <a:schemeClr val="tx1"/>
              </a:solidFill>
              <a:ln>
                <a:solidFill>
                  <a:schemeClr val="tx1"/>
                </a:solidFill>
              </a:ln>
            </c:spPr>
          </c:marker>
          <c:xVal>
            <c:numRef>
              <c:f>WatLimNI!$D$24</c:f>
              <c:numCache>
                <c:formatCode>0</c:formatCode>
                <c:ptCount val="1"/>
                <c:pt idx="0">
                  <c:v>442.42790702200659</c:v>
                </c:pt>
              </c:numCache>
            </c:numRef>
          </c:xVal>
          <c:yVal>
            <c:numRef>
              <c:f>WatLimNI!$N$24</c:f>
              <c:numCache>
                <c:formatCode>"$"#,##0</c:formatCode>
                <c:ptCount val="1"/>
                <c:pt idx="0">
                  <c:v>623.81784232974155</c:v>
                </c:pt>
              </c:numCache>
            </c:numRef>
          </c:yVal>
          <c:smooth val="1"/>
          <c:extLst>
            <c:ext xmlns:c16="http://schemas.microsoft.com/office/drawing/2014/chart" uri="{C3380CC4-5D6E-409C-BE32-E72D297353CC}">
              <c16:uniqueId val="{00000002-BAFE-4E80-9575-A7BCDF8E45BC}"/>
            </c:ext>
          </c:extLst>
        </c:ser>
        <c:ser>
          <c:idx val="2"/>
          <c:order val="3"/>
          <c:tx>
            <c:strRef>
              <c:f>WatLimNI!$L$22</c:f>
              <c:strCache>
                <c:ptCount val="1"/>
                <c:pt idx="0">
                  <c:v>NI Irrig</c:v>
                </c:pt>
              </c:strCache>
            </c:strRef>
          </c:tx>
          <c:spPr>
            <a:ln>
              <a:solidFill>
                <a:schemeClr val="tx2">
                  <a:lumMod val="60000"/>
                  <a:lumOff val="40000"/>
                </a:schemeClr>
              </a:solidFill>
            </a:ln>
          </c:spPr>
          <c:marker>
            <c:symbol val="none"/>
          </c:marker>
          <c:xVal>
            <c:numRef>
              <c:f>WatLimNI!$D$25:$D$125</c:f>
              <c:numCache>
                <c:formatCode>0</c:formatCode>
                <c:ptCount val="101"/>
                <c:pt idx="0">
                  <c:v>520</c:v>
                </c:pt>
                <c:pt idx="1">
                  <c:v>509.97363140350592</c:v>
                </c:pt>
                <c:pt idx="2">
                  <c:v>500.09241534094667</c:v>
                </c:pt>
                <c:pt idx="3">
                  <c:v>490.35325417549376</c:v>
                </c:pt>
                <c:pt idx="4">
                  <c:v>480.75313807531364</c:v>
                </c:pt>
                <c:pt idx="5">
                  <c:v>471.28914192761295</c:v>
                </c:pt>
                <c:pt idx="6">
                  <c:v>461.95842238197019</c:v>
                </c:pt>
                <c:pt idx="7">
                  <c:v>452.75821501667974</c:v>
                </c:pt>
                <c:pt idx="8">
                  <c:v>443.68583162217658</c:v>
                </c:pt>
                <c:pt idx="9">
                  <c:v>434.7386575959373</c:v>
                </c:pt>
                <c:pt idx="10">
                  <c:v>425.9141494435612</c:v>
                </c:pt>
                <c:pt idx="11">
                  <c:v>417.20983238101252</c:v>
                </c:pt>
                <c:pt idx="12">
                  <c:v>408.62329803328282</c:v>
                </c:pt>
                <c:pt idx="13">
                  <c:v>400.15220222497686</c:v>
                </c:pt>
                <c:pt idx="14">
                  <c:v>391.79426285857136</c:v>
                </c:pt>
                <c:pt idx="15">
                  <c:v>383.5472578763127</c:v>
                </c:pt>
                <c:pt idx="16">
                  <c:v>375.4090233019333</c:v>
                </c:pt>
                <c:pt idx="17">
                  <c:v>367.37745135856545</c:v>
                </c:pt>
                <c:pt idx="18">
                  <c:v>359.45048865941345</c:v>
                </c:pt>
                <c:pt idx="19">
                  <c:v>351.62613446792864</c:v>
                </c:pt>
                <c:pt idx="20">
                  <c:v>343.90243902439016</c:v>
                </c:pt>
                <c:pt idx="21">
                  <c:v>336.27750193595398</c:v>
                </c:pt>
                <c:pt idx="22">
                  <c:v>328.74947062738198</c:v>
                </c:pt>
                <c:pt idx="23">
                  <c:v>321.31653884979886</c:v>
                </c:pt>
                <c:pt idx="24">
                  <c:v>313.97694524495671</c:v>
                </c:pt>
                <c:pt idx="25">
                  <c:v>306.72897196261664</c:v>
                </c:pt>
                <c:pt idx="26">
                  <c:v>299.57094332876454</c:v>
                </c:pt>
                <c:pt idx="27">
                  <c:v>292.50122456249687</c:v>
                </c:pt>
                <c:pt idx="28">
                  <c:v>285.51822053951719</c:v>
                </c:pt>
                <c:pt idx="29">
                  <c:v>278.62037460027392</c:v>
                </c:pt>
                <c:pt idx="30">
                  <c:v>271.8061674008809</c:v>
                </c:pt>
                <c:pt idx="31">
                  <c:v>265.07411580503071</c:v>
                </c:pt>
                <c:pt idx="32">
                  <c:v>258.42277181521217</c:v>
                </c:pt>
                <c:pt idx="33">
                  <c:v>251.85072154161386</c:v>
                </c:pt>
                <c:pt idx="34">
                  <c:v>245.35658420717201</c:v>
                </c:pt>
                <c:pt idx="35">
                  <c:v>238.93901118729667</c:v>
                </c:pt>
                <c:pt idx="36">
                  <c:v>232.59668508287274</c:v>
                </c:pt>
                <c:pt idx="37">
                  <c:v>226.32831882519955</c:v>
                </c:pt>
                <c:pt idx="38">
                  <c:v>220.13265481159561</c:v>
                </c:pt>
                <c:pt idx="39">
                  <c:v>214.00846407044824</c:v>
                </c:pt>
                <c:pt idx="40">
                  <c:v>207.95454545454515</c:v>
                </c:pt>
                <c:pt idx="41">
                  <c:v>201.969724861581</c:v>
                </c:pt>
                <c:pt idx="42">
                  <c:v>196.05285448077228</c:v>
                </c:pt>
                <c:pt idx="43">
                  <c:v>190.20281206457301</c:v>
                </c:pt>
                <c:pt idx="44">
                  <c:v>184.41850022451706</c:v>
                </c:pt>
                <c:pt idx="45">
                  <c:v>178.69884575026219</c:v>
                </c:pt>
                <c:pt idx="46">
                  <c:v>173.0427989509511</c:v>
                </c:pt>
                <c:pt idx="47">
                  <c:v>167.44933301804099</c:v>
                </c:pt>
                <c:pt idx="48">
                  <c:v>161.91744340878802</c:v>
                </c:pt>
                <c:pt idx="49">
                  <c:v>156.44614724961596</c:v>
                </c:pt>
                <c:pt idx="50">
                  <c:v>151.0344827586205</c:v>
                </c:pt>
                <c:pt idx="51">
                  <c:v>145.68150868650156</c:v>
                </c:pt>
                <c:pt idx="52">
                  <c:v>140.38630377524117</c:v>
                </c:pt>
                <c:pt idx="53">
                  <c:v>135.14796623387258</c:v>
                </c:pt>
                <c:pt idx="54">
                  <c:v>129.96561323071856</c:v>
                </c:pt>
                <c:pt idx="55">
                  <c:v>124.83838040149691</c:v>
                </c:pt>
                <c:pt idx="56">
                  <c:v>119.76542137271912</c:v>
                </c:pt>
                <c:pt idx="57">
                  <c:v>114.74590729983314</c:v>
                </c:pt>
                <c:pt idx="58">
                  <c:v>109.77902641957948</c:v>
                </c:pt>
                <c:pt idx="59">
                  <c:v>104.86398361605485</c:v>
                </c:pt>
                <c:pt idx="60">
                  <c:v>99.999999999999716</c:v>
                </c:pt>
                <c:pt idx="61">
                  <c:v>95.186312500837786</c:v>
                </c:pt>
                <c:pt idx="62">
                  <c:v>90.422173471025488</c:v>
                </c:pt>
                <c:pt idx="63">
                  <c:v>85.706850302277886</c:v>
                </c:pt>
                <c:pt idx="64">
                  <c:v>81.039625053259186</c:v>
                </c:pt>
                <c:pt idx="65">
                  <c:v>76.419794088342471</c:v>
                </c:pt>
                <c:pt idx="66">
                  <c:v>71.846667727055618</c:v>
                </c:pt>
                <c:pt idx="67">
                  <c:v>67.319569903849683</c:v>
                </c:pt>
                <c:pt idx="68">
                  <c:v>62.837837837837519</c:v>
                </c:pt>
                <c:pt idx="69">
                  <c:v>58.400821712163435</c:v>
                </c:pt>
                <c:pt idx="70">
                  <c:v>54.007884362680414</c:v>
                </c:pt>
                <c:pt idx="71">
                  <c:v>49.658400975622342</c:v>
                </c:pt>
                <c:pt idx="72">
                  <c:v>45.351758793969537</c:v>
                </c:pt>
                <c:pt idx="73">
                  <c:v>41.087356832220799</c:v>
                </c:pt>
                <c:pt idx="74">
                  <c:v>36.864605599290755</c:v>
                </c:pt>
                <c:pt idx="75">
                  <c:v>32.682926829267963</c:v>
                </c:pt>
                <c:pt idx="76">
                  <c:v>28.541753219775423</c:v>
                </c:pt>
                <c:pt idx="77">
                  <c:v>24.440528177683017</c:v>
                </c:pt>
                <c:pt idx="78">
                  <c:v>20.378705571938237</c:v>
                </c:pt>
                <c:pt idx="79">
                  <c:v>16.355749493280086</c:v>
                </c:pt>
                <c:pt idx="80">
                  <c:v>12.371134020618292</c:v>
                </c:pt>
                <c:pt idx="81">
                  <c:v>8.4243429938638066</c:v>
                </c:pt>
                <c:pt idx="82">
                  <c:v>4.5148697930040393</c:v>
                </c:pt>
                <c:pt idx="83">
                  <c:v>0.64221712322588975</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WatLimNI!$L$25:$L$125</c:f>
              <c:numCache>
                <c:formatCode>"$"#,##0</c:formatCode>
                <c:ptCount val="101"/>
                <c:pt idx="0">
                  <c:v>500.19230769230762</c:v>
                </c:pt>
                <c:pt idx="1">
                  <c:v>503.90103591714734</c:v>
                </c:pt>
                <c:pt idx="2">
                  <c:v>507.57631233455885</c:v>
                </c:pt>
                <c:pt idx="3">
                  <c:v>511.21683833764507</c:v>
                </c:pt>
                <c:pt idx="4">
                  <c:v>514.82124924683683</c:v>
                </c:pt>
                <c:pt idx="5">
                  <c:v>518.38811007785853</c:v>
                </c:pt>
                <c:pt idx="6">
                  <c:v>521.91591098055289</c:v>
                </c:pt>
                <c:pt idx="7">
                  <c:v>525.403062318313</c:v>
                </c:pt>
                <c:pt idx="8">
                  <c:v>528.8478893546577</c:v>
                </c:pt>
                <c:pt idx="9">
                  <c:v>532.24862650986427</c:v>
                </c:pt>
                <c:pt idx="10">
                  <c:v>535.60341114652397</c:v>
                </c:pt>
                <c:pt idx="11">
                  <c:v>538.91027683832965</c:v>
                </c:pt>
                <c:pt idx="12">
                  <c:v>542.16714607125562</c:v>
                </c:pt>
                <c:pt idx="13">
                  <c:v>545.3718223205143</c:v>
                </c:pt>
                <c:pt idx="14">
                  <c:v>548.52198144010345</c:v>
                </c:pt>
                <c:pt idx="15">
                  <c:v>551.61516229435313</c:v>
                </c:pt>
                <c:pt idx="16">
                  <c:v>554.64875655248125</c:v>
                </c:pt>
                <c:pt idx="17">
                  <c:v>557.61999755759769</c:v>
                </c:pt>
                <c:pt idx="18">
                  <c:v>560.52594817074362</c:v>
                </c:pt>
                <c:pt idx="19">
                  <c:v>563.36348747814088</c:v>
                </c:pt>
                <c:pt idx="20">
                  <c:v>566.12929623567891</c:v>
                </c:pt>
                <c:pt idx="21">
                  <c:v>568.81984090845151</c:v>
                </c:pt>
                <c:pt idx="22">
                  <c:v>571.43135614454593</c:v>
                </c:pt>
                <c:pt idx="23">
                  <c:v>573.95982550093004</c:v>
                </c:pt>
                <c:pt idx="24">
                  <c:v>576.40096021463603</c:v>
                </c:pt>
                <c:pt idx="25">
                  <c:v>578.75017578399661</c:v>
                </c:pt>
                <c:pt idx="26">
                  <c:v>580.17162266849368</c:v>
                </c:pt>
                <c:pt idx="27">
                  <c:v>568.57643325192385</c:v>
                </c:pt>
                <c:pt idx="28">
                  <c:v>556.94655793803895</c:v>
                </c:pt>
                <c:pt idx="29">
                  <c:v>545.28261939065942</c:v>
                </c:pt>
                <c:pt idx="30">
                  <c:v>533.58522534733902</c:v>
                </c:pt>
                <c:pt idx="31">
                  <c:v>521.85496906260255</c:v>
                </c:pt>
                <c:pt idx="32">
                  <c:v>510.09242973545292</c:v>
                </c:pt>
                <c:pt idx="33">
                  <c:v>498.29817292181542</c:v>
                </c:pt>
                <c:pt idx="34">
                  <c:v>486.47275093251528</c:v>
                </c:pt>
                <c:pt idx="35">
                  <c:v>474.61670321738848</c:v>
                </c:pt>
                <c:pt idx="36">
                  <c:v>462.73055673608133</c:v>
                </c:pt>
                <c:pt idx="37">
                  <c:v>450.81482631607309</c:v>
                </c:pt>
                <c:pt idx="38">
                  <c:v>438.87001499843791</c:v>
                </c:pt>
                <c:pt idx="39">
                  <c:v>426.89661437182008</c:v>
                </c:pt>
                <c:pt idx="40">
                  <c:v>414.8951048951044</c:v>
                </c:pt>
                <c:pt idx="41">
                  <c:v>402.86595620921298</c:v>
                </c:pt>
                <c:pt idx="42">
                  <c:v>390.80962743845976</c:v>
                </c:pt>
                <c:pt idx="43">
                  <c:v>378.72656748186273</c:v>
                </c:pt>
                <c:pt idx="44">
                  <c:v>366.61721529480792</c:v>
                </c:pt>
                <c:pt idx="45">
                  <c:v>354.48200016143278</c:v>
                </c:pt>
                <c:pt idx="46">
                  <c:v>342.32134195808021</c:v>
                </c:pt>
                <c:pt idx="47">
                  <c:v>330.1356514081674</c:v>
                </c:pt>
                <c:pt idx="48">
                  <c:v>317.92533032879192</c:v>
                </c:pt>
                <c:pt idx="49">
                  <c:v>305.69077186938398</c:v>
                </c:pt>
                <c:pt idx="50">
                  <c:v>293.43236074270476</c:v>
                </c:pt>
                <c:pt idx="51">
                  <c:v>281.15047344847562</c:v>
                </c:pt>
                <c:pt idx="52">
                  <c:v>268.84547848990292</c:v>
                </c:pt>
                <c:pt idx="53">
                  <c:v>256.51773658337333</c:v>
                </c:pt>
                <c:pt idx="54">
                  <c:v>244.16760086155796</c:v>
                </c:pt>
                <c:pt idx="55">
                  <c:v>231.79541707016983</c:v>
                </c:pt>
                <c:pt idx="56">
                  <c:v>219.40152375860407</c:v>
                </c:pt>
                <c:pt idx="57">
                  <c:v>206.98625246468112</c:v>
                </c:pt>
                <c:pt idx="58">
                  <c:v>194.5499278937059</c:v>
                </c:pt>
                <c:pt idx="59">
                  <c:v>182.09286809203877</c:v>
                </c:pt>
                <c:pt idx="60">
                  <c:v>169.61538461538396</c:v>
                </c:pt>
                <c:pt idx="61">
                  <c:v>157.1177826919718</c:v>
                </c:pt>
                <c:pt idx="62">
                  <c:v>144.60036138081989</c:v>
                </c:pt>
                <c:pt idx="63">
                  <c:v>132.06341372524207</c:v>
                </c:pt>
                <c:pt idx="64">
                  <c:v>119.50722690177213</c:v>
                </c:pt>
                <c:pt idx="65">
                  <c:v>106.93208236466194</c:v>
                </c:pt>
                <c:pt idx="66">
                  <c:v>94.338255986099966</c:v>
                </c:pt>
                <c:pt idx="67">
                  <c:v>81.726018192305446</c:v>
                </c:pt>
                <c:pt idx="68">
                  <c:v>69.095634095633386</c:v>
                </c:pt>
                <c:pt idx="69">
                  <c:v>56.44736362282606</c:v>
                </c:pt>
                <c:pt idx="70">
                  <c:v>43.781461639542158</c:v>
                </c:pt>
                <c:pt idx="71">
                  <c:v>31.098178071288658</c:v>
                </c:pt>
                <c:pt idx="72">
                  <c:v>18.397758020872743</c:v>
                </c:pt>
                <c:pt idx="73">
                  <c:v>5.6804418824953018</c:v>
                </c:pt>
                <c:pt idx="74">
                  <c:v>-7.0535345474095266</c:v>
                </c:pt>
                <c:pt idx="75">
                  <c:v>-19.803939962477443</c:v>
                </c:pt>
                <c:pt idx="76">
                  <c:v>-32.570547441757526</c:v>
                </c:pt>
                <c:pt idx="77">
                  <c:v>-45.353134347997184</c:v>
                </c:pt>
                <c:pt idx="78">
                  <c:v>-58.151482228776445</c:v>
                </c:pt>
                <c:pt idx="79">
                  <c:v>-70.965376720390054</c:v>
                </c:pt>
                <c:pt idx="80">
                  <c:v>-83.794607454402239</c:v>
                </c:pt>
                <c:pt idx="81">
                  <c:v>-96.638967966777273</c:v>
                </c:pt>
                <c:pt idx="82">
                  <c:v>-109.49825560951047</c:v>
                </c:pt>
                <c:pt idx="83">
                  <c:v>-122.37227146467615</c:v>
                </c:pt>
                <c:pt idx="84">
                  <c:v>-136.53846153846257</c:v>
                </c:pt>
                <c:pt idx="85">
                  <c:v>-150.9615384615397</c:v>
                </c:pt>
                <c:pt idx="86">
                  <c:v>-165.38461538461661</c:v>
                </c:pt>
                <c:pt idx="87">
                  <c:v>-179.80769230769351</c:v>
                </c:pt>
                <c:pt idx="88">
                  <c:v>-194.23076923077053</c:v>
                </c:pt>
                <c:pt idx="89">
                  <c:v>-208.65384615384744</c:v>
                </c:pt>
                <c:pt idx="90">
                  <c:v>-223.07692307692423</c:v>
                </c:pt>
                <c:pt idx="91">
                  <c:v>-237.50000000000114</c:v>
                </c:pt>
                <c:pt idx="92">
                  <c:v>-251.92307692307816</c:v>
                </c:pt>
                <c:pt idx="93">
                  <c:v>-266.34615384615506</c:v>
                </c:pt>
                <c:pt idx="94">
                  <c:v>-280.76923076923197</c:v>
                </c:pt>
                <c:pt idx="95">
                  <c:v>-295.19230769230904</c:v>
                </c:pt>
                <c:pt idx="96">
                  <c:v>-309.61538461538589</c:v>
                </c:pt>
                <c:pt idx="97">
                  <c:v>-324.0384615384628</c:v>
                </c:pt>
                <c:pt idx="98">
                  <c:v>-338.46153846153982</c:v>
                </c:pt>
                <c:pt idx="99">
                  <c:v>-352.88461538461684</c:v>
                </c:pt>
                <c:pt idx="100">
                  <c:v>-367.30769230769363</c:v>
                </c:pt>
              </c:numCache>
            </c:numRef>
          </c:yVal>
          <c:smooth val="1"/>
          <c:extLst>
            <c:ext xmlns:c16="http://schemas.microsoft.com/office/drawing/2014/chart" uri="{C3380CC4-5D6E-409C-BE32-E72D297353CC}">
              <c16:uniqueId val="{00000002-D95A-4548-B278-9C08062A4C91}"/>
            </c:ext>
          </c:extLst>
        </c:ser>
        <c:ser>
          <c:idx val="6"/>
          <c:order val="4"/>
          <c:tx>
            <c:v>NI Irr per Ha</c:v>
          </c:tx>
          <c:spPr>
            <a:ln>
              <a:solidFill>
                <a:schemeClr val="tx2">
                  <a:lumMod val="60000"/>
                  <a:lumOff val="40000"/>
                </a:schemeClr>
              </a:solidFill>
              <a:prstDash val="sysDash"/>
            </a:ln>
          </c:spPr>
          <c:marker>
            <c:symbol val="none"/>
          </c:marker>
          <c:xVal>
            <c:numRef>
              <c:f>WatLimNI!$D$25:$D$125</c:f>
              <c:numCache>
                <c:formatCode>0</c:formatCode>
                <c:ptCount val="101"/>
                <c:pt idx="0">
                  <c:v>520</c:v>
                </c:pt>
                <c:pt idx="1">
                  <c:v>509.97363140350592</c:v>
                </c:pt>
                <c:pt idx="2">
                  <c:v>500.09241534094667</c:v>
                </c:pt>
                <c:pt idx="3">
                  <c:v>490.35325417549376</c:v>
                </c:pt>
                <c:pt idx="4">
                  <c:v>480.75313807531364</c:v>
                </c:pt>
                <c:pt idx="5">
                  <c:v>471.28914192761295</c:v>
                </c:pt>
                <c:pt idx="6">
                  <c:v>461.95842238197019</c:v>
                </c:pt>
                <c:pt idx="7">
                  <c:v>452.75821501667974</c:v>
                </c:pt>
                <c:pt idx="8">
                  <c:v>443.68583162217658</c:v>
                </c:pt>
                <c:pt idx="9">
                  <c:v>434.7386575959373</c:v>
                </c:pt>
                <c:pt idx="10">
                  <c:v>425.9141494435612</c:v>
                </c:pt>
                <c:pt idx="11">
                  <c:v>417.20983238101252</c:v>
                </c:pt>
                <c:pt idx="12">
                  <c:v>408.62329803328282</c:v>
                </c:pt>
                <c:pt idx="13">
                  <c:v>400.15220222497686</c:v>
                </c:pt>
                <c:pt idx="14">
                  <c:v>391.79426285857136</c:v>
                </c:pt>
                <c:pt idx="15">
                  <c:v>383.5472578763127</c:v>
                </c:pt>
                <c:pt idx="16">
                  <c:v>375.4090233019333</c:v>
                </c:pt>
                <c:pt idx="17">
                  <c:v>367.37745135856545</c:v>
                </c:pt>
                <c:pt idx="18">
                  <c:v>359.45048865941345</c:v>
                </c:pt>
                <c:pt idx="19">
                  <c:v>351.62613446792864</c:v>
                </c:pt>
                <c:pt idx="20">
                  <c:v>343.90243902439016</c:v>
                </c:pt>
                <c:pt idx="21">
                  <c:v>336.27750193595398</c:v>
                </c:pt>
                <c:pt idx="22">
                  <c:v>328.74947062738198</c:v>
                </c:pt>
                <c:pt idx="23">
                  <c:v>321.31653884979886</c:v>
                </c:pt>
                <c:pt idx="24">
                  <c:v>313.97694524495671</c:v>
                </c:pt>
                <c:pt idx="25">
                  <c:v>306.72897196261664</c:v>
                </c:pt>
                <c:pt idx="26">
                  <c:v>299.57094332876454</c:v>
                </c:pt>
                <c:pt idx="27">
                  <c:v>292.50122456249687</c:v>
                </c:pt>
                <c:pt idx="28">
                  <c:v>285.51822053951719</c:v>
                </c:pt>
                <c:pt idx="29">
                  <c:v>278.62037460027392</c:v>
                </c:pt>
                <c:pt idx="30">
                  <c:v>271.8061674008809</c:v>
                </c:pt>
                <c:pt idx="31">
                  <c:v>265.07411580503071</c:v>
                </c:pt>
                <c:pt idx="32">
                  <c:v>258.42277181521217</c:v>
                </c:pt>
                <c:pt idx="33">
                  <c:v>251.85072154161386</c:v>
                </c:pt>
                <c:pt idx="34">
                  <c:v>245.35658420717201</c:v>
                </c:pt>
                <c:pt idx="35">
                  <c:v>238.93901118729667</c:v>
                </c:pt>
                <c:pt idx="36">
                  <c:v>232.59668508287274</c:v>
                </c:pt>
                <c:pt idx="37">
                  <c:v>226.32831882519955</c:v>
                </c:pt>
                <c:pt idx="38">
                  <c:v>220.13265481159561</c:v>
                </c:pt>
                <c:pt idx="39">
                  <c:v>214.00846407044824</c:v>
                </c:pt>
                <c:pt idx="40">
                  <c:v>207.95454545454515</c:v>
                </c:pt>
                <c:pt idx="41">
                  <c:v>201.969724861581</c:v>
                </c:pt>
                <c:pt idx="42">
                  <c:v>196.05285448077228</c:v>
                </c:pt>
                <c:pt idx="43">
                  <c:v>190.20281206457301</c:v>
                </c:pt>
                <c:pt idx="44">
                  <c:v>184.41850022451706</c:v>
                </c:pt>
                <c:pt idx="45">
                  <c:v>178.69884575026219</c:v>
                </c:pt>
                <c:pt idx="46">
                  <c:v>173.0427989509511</c:v>
                </c:pt>
                <c:pt idx="47">
                  <c:v>167.44933301804099</c:v>
                </c:pt>
                <c:pt idx="48">
                  <c:v>161.91744340878802</c:v>
                </c:pt>
                <c:pt idx="49">
                  <c:v>156.44614724961596</c:v>
                </c:pt>
                <c:pt idx="50">
                  <c:v>151.0344827586205</c:v>
                </c:pt>
                <c:pt idx="51">
                  <c:v>145.68150868650156</c:v>
                </c:pt>
                <c:pt idx="52">
                  <c:v>140.38630377524117</c:v>
                </c:pt>
                <c:pt idx="53">
                  <c:v>135.14796623387258</c:v>
                </c:pt>
                <c:pt idx="54">
                  <c:v>129.96561323071856</c:v>
                </c:pt>
                <c:pt idx="55">
                  <c:v>124.83838040149691</c:v>
                </c:pt>
                <c:pt idx="56">
                  <c:v>119.76542137271912</c:v>
                </c:pt>
                <c:pt idx="57">
                  <c:v>114.74590729983314</c:v>
                </c:pt>
                <c:pt idx="58">
                  <c:v>109.77902641957948</c:v>
                </c:pt>
                <c:pt idx="59">
                  <c:v>104.86398361605485</c:v>
                </c:pt>
                <c:pt idx="60">
                  <c:v>99.999999999999716</c:v>
                </c:pt>
                <c:pt idx="61">
                  <c:v>95.186312500837786</c:v>
                </c:pt>
                <c:pt idx="62">
                  <c:v>90.422173471025488</c:v>
                </c:pt>
                <c:pt idx="63">
                  <c:v>85.706850302277886</c:v>
                </c:pt>
                <c:pt idx="64">
                  <c:v>81.039625053259186</c:v>
                </c:pt>
                <c:pt idx="65">
                  <c:v>76.419794088342471</c:v>
                </c:pt>
                <c:pt idx="66">
                  <c:v>71.846667727055618</c:v>
                </c:pt>
                <c:pt idx="67">
                  <c:v>67.319569903849683</c:v>
                </c:pt>
                <c:pt idx="68">
                  <c:v>62.837837837837519</c:v>
                </c:pt>
                <c:pt idx="69">
                  <c:v>58.400821712163435</c:v>
                </c:pt>
                <c:pt idx="70">
                  <c:v>54.007884362680414</c:v>
                </c:pt>
                <c:pt idx="71">
                  <c:v>49.658400975622342</c:v>
                </c:pt>
                <c:pt idx="72">
                  <c:v>45.351758793969537</c:v>
                </c:pt>
                <c:pt idx="73">
                  <c:v>41.087356832220799</c:v>
                </c:pt>
                <c:pt idx="74">
                  <c:v>36.864605599290755</c:v>
                </c:pt>
                <c:pt idx="75">
                  <c:v>32.682926829267963</c:v>
                </c:pt>
                <c:pt idx="76">
                  <c:v>28.541753219775423</c:v>
                </c:pt>
                <c:pt idx="77">
                  <c:v>24.440528177683017</c:v>
                </c:pt>
                <c:pt idx="78">
                  <c:v>20.378705571938237</c:v>
                </c:pt>
                <c:pt idx="79">
                  <c:v>16.355749493280086</c:v>
                </c:pt>
                <c:pt idx="80">
                  <c:v>12.371134020618292</c:v>
                </c:pt>
                <c:pt idx="81">
                  <c:v>8.4243429938638066</c:v>
                </c:pt>
                <c:pt idx="82">
                  <c:v>4.5148697930040393</c:v>
                </c:pt>
                <c:pt idx="83">
                  <c:v>0.64221712322588975</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WatLimNI!$H$25:$H$125</c:f>
              <c:numCache>
                <c:formatCode>"$"#,##0</c:formatCode>
                <c:ptCount val="101"/>
                <c:pt idx="0">
                  <c:v>867</c:v>
                </c:pt>
                <c:pt idx="1">
                  <c:v>856.58747051552041</c:v>
                </c:pt>
                <c:pt idx="2">
                  <c:v>846.11688001746757</c:v>
                </c:pt>
                <c:pt idx="3">
                  <c:v>835.58946756057185</c:v>
                </c:pt>
                <c:pt idx="4">
                  <c:v>825.00643707756672</c:v>
                </c:pt>
                <c:pt idx="5">
                  <c:v>814.3689586135697</c:v>
                </c:pt>
                <c:pt idx="6">
                  <c:v>803.67816950874999</c:v>
                </c:pt>
                <c:pt idx="7">
                  <c:v>792.93517553178913</c:v>
                </c:pt>
                <c:pt idx="8">
                  <c:v>782.14105196651371</c:v>
                </c:pt>
                <c:pt idx="9">
                  <c:v>771.29684465393257</c:v>
                </c:pt>
                <c:pt idx="10">
                  <c:v>760.40357099180596</c:v>
                </c:pt>
                <c:pt idx="11">
                  <c:v>749.46222089374851</c:v>
                </c:pt>
                <c:pt idx="12">
                  <c:v>738.4737577097635</c:v>
                </c:pt>
                <c:pt idx="13">
                  <c:v>727.43911911000873</c:v>
                </c:pt>
                <c:pt idx="14">
                  <c:v>716.35921793349439</c:v>
                </c:pt>
                <c:pt idx="15">
                  <c:v>705.23494300332118</c:v>
                </c:pt>
                <c:pt idx="16">
                  <c:v>694.06715990999578</c:v>
                </c:pt>
                <c:pt idx="17">
                  <c:v>682.85671176426581</c:v>
                </c:pt>
                <c:pt idx="18">
                  <c:v>671.60441992084952</c:v>
                </c:pt>
                <c:pt idx="19">
                  <c:v>660.31108467436661</c:v>
                </c:pt>
                <c:pt idx="20">
                  <c:v>648.97748592870494</c:v>
                </c:pt>
                <c:pt idx="21">
                  <c:v>637.6043838410028</c:v>
                </c:pt>
                <c:pt idx="22">
                  <c:v>626.19251944135476</c:v>
                </c:pt>
                <c:pt idx="23">
                  <c:v>614.74261522931124</c:v>
                </c:pt>
                <c:pt idx="24">
                  <c:v>603.25537574817076</c:v>
                </c:pt>
                <c:pt idx="25">
                  <c:v>591.73148813802982</c:v>
                </c:pt>
                <c:pt idx="26">
                  <c:v>580.17162266849368</c:v>
                </c:pt>
                <c:pt idx="27">
                  <c:v>568.57643325192385</c:v>
                </c:pt>
                <c:pt idx="28">
                  <c:v>556.94655793803895</c:v>
                </c:pt>
                <c:pt idx="29">
                  <c:v>545.28261939065942</c:v>
                </c:pt>
                <c:pt idx="30">
                  <c:v>533.58522534733902</c:v>
                </c:pt>
                <c:pt idx="31">
                  <c:v>521.85496906260255</c:v>
                </c:pt>
                <c:pt idx="32">
                  <c:v>510.09242973545292</c:v>
                </c:pt>
                <c:pt idx="33">
                  <c:v>498.29817292181542</c:v>
                </c:pt>
                <c:pt idx="34">
                  <c:v>486.47275093251528</c:v>
                </c:pt>
                <c:pt idx="35">
                  <c:v>474.61670321738848</c:v>
                </c:pt>
                <c:pt idx="36">
                  <c:v>462.73055673608133</c:v>
                </c:pt>
                <c:pt idx="37">
                  <c:v>450.81482631607309</c:v>
                </c:pt>
                <c:pt idx="38">
                  <c:v>438.87001499843791</c:v>
                </c:pt>
                <c:pt idx="39">
                  <c:v>426.89661437182008</c:v>
                </c:pt>
                <c:pt idx="40">
                  <c:v>414.8951048951044</c:v>
                </c:pt>
                <c:pt idx="41">
                  <c:v>402.86595620921298</c:v>
                </c:pt>
                <c:pt idx="42">
                  <c:v>390.80962743845976</c:v>
                </c:pt>
                <c:pt idx="43">
                  <c:v>378.72656748186273</c:v>
                </c:pt>
                <c:pt idx="44">
                  <c:v>366.61721529480792</c:v>
                </c:pt>
                <c:pt idx="45">
                  <c:v>354.48200016143278</c:v>
                </c:pt>
                <c:pt idx="46">
                  <c:v>342.32134195808021</c:v>
                </c:pt>
                <c:pt idx="47">
                  <c:v>330.1356514081674</c:v>
                </c:pt>
                <c:pt idx="48">
                  <c:v>317.92533032879192</c:v>
                </c:pt>
                <c:pt idx="49">
                  <c:v>305.69077186938398</c:v>
                </c:pt>
                <c:pt idx="50">
                  <c:v>293.43236074270476</c:v>
                </c:pt>
                <c:pt idx="51">
                  <c:v>281.15047344847562</c:v>
                </c:pt>
                <c:pt idx="52">
                  <c:v>268.84547848990292</c:v>
                </c:pt>
                <c:pt idx="53">
                  <c:v>256.51773658337333</c:v>
                </c:pt>
                <c:pt idx="54">
                  <c:v>244.16760086155796</c:v>
                </c:pt>
                <c:pt idx="55">
                  <c:v>231.79541707016983</c:v>
                </c:pt>
                <c:pt idx="56">
                  <c:v>219.40152375860407</c:v>
                </c:pt>
                <c:pt idx="57">
                  <c:v>206.98625246468112</c:v>
                </c:pt>
                <c:pt idx="58">
                  <c:v>194.5499278937059</c:v>
                </c:pt>
                <c:pt idx="59">
                  <c:v>182.09286809203877</c:v>
                </c:pt>
                <c:pt idx="60">
                  <c:v>169.61538461538396</c:v>
                </c:pt>
                <c:pt idx="61">
                  <c:v>157.1177826919718</c:v>
                </c:pt>
                <c:pt idx="62">
                  <c:v>144.60036138081989</c:v>
                </c:pt>
                <c:pt idx="63">
                  <c:v>132.06341372524207</c:v>
                </c:pt>
                <c:pt idx="64">
                  <c:v>119.50722690177213</c:v>
                </c:pt>
                <c:pt idx="65">
                  <c:v>106.93208236466194</c:v>
                </c:pt>
                <c:pt idx="66">
                  <c:v>94.338255986099966</c:v>
                </c:pt>
                <c:pt idx="67">
                  <c:v>81.726018192305446</c:v>
                </c:pt>
                <c:pt idx="68">
                  <c:v>69.095634095633386</c:v>
                </c:pt>
                <c:pt idx="69">
                  <c:v>56.44736362282606</c:v>
                </c:pt>
                <c:pt idx="70">
                  <c:v>43.781461639542158</c:v>
                </c:pt>
                <c:pt idx="71">
                  <c:v>31.098178071288658</c:v>
                </c:pt>
                <c:pt idx="72">
                  <c:v>18.397758020872743</c:v>
                </c:pt>
                <c:pt idx="73">
                  <c:v>5.6804418824953018</c:v>
                </c:pt>
                <c:pt idx="74">
                  <c:v>-7.0535345474095266</c:v>
                </c:pt>
                <c:pt idx="75">
                  <c:v>-19.803939962477443</c:v>
                </c:pt>
                <c:pt idx="76">
                  <c:v>-32.570547441757526</c:v>
                </c:pt>
                <c:pt idx="77">
                  <c:v>-45.353134347997184</c:v>
                </c:pt>
                <c:pt idx="78">
                  <c:v>-58.151482228776445</c:v>
                </c:pt>
                <c:pt idx="79">
                  <c:v>-70.965376720390054</c:v>
                </c:pt>
                <c:pt idx="80">
                  <c:v>-83.794607454402239</c:v>
                </c:pt>
                <c:pt idx="81">
                  <c:v>-96.638967966777273</c:v>
                </c:pt>
                <c:pt idx="82">
                  <c:v>-109.49825560951047</c:v>
                </c:pt>
                <c:pt idx="83">
                  <c:v>-122.37227146467615</c:v>
                </c:pt>
                <c:pt idx="84">
                  <c:v>-136.53846153846257</c:v>
                </c:pt>
                <c:pt idx="85">
                  <c:v>-150.9615384615397</c:v>
                </c:pt>
                <c:pt idx="86">
                  <c:v>-165.38461538461661</c:v>
                </c:pt>
                <c:pt idx="87">
                  <c:v>-179.80769230769351</c:v>
                </c:pt>
                <c:pt idx="88">
                  <c:v>-194.23076923077053</c:v>
                </c:pt>
                <c:pt idx="89">
                  <c:v>-208.65384615384744</c:v>
                </c:pt>
                <c:pt idx="90">
                  <c:v>-223.07692307692423</c:v>
                </c:pt>
                <c:pt idx="91">
                  <c:v>-237.50000000000114</c:v>
                </c:pt>
                <c:pt idx="92">
                  <c:v>-251.92307692307816</c:v>
                </c:pt>
                <c:pt idx="93">
                  <c:v>-266.34615384615506</c:v>
                </c:pt>
                <c:pt idx="94">
                  <c:v>-280.76923076923197</c:v>
                </c:pt>
                <c:pt idx="95">
                  <c:v>-295.19230769230904</c:v>
                </c:pt>
                <c:pt idx="96">
                  <c:v>-309.61538461538589</c:v>
                </c:pt>
                <c:pt idx="97">
                  <c:v>-324.0384615384628</c:v>
                </c:pt>
                <c:pt idx="98">
                  <c:v>-338.46153846153982</c:v>
                </c:pt>
                <c:pt idx="99">
                  <c:v>-352.88461538461684</c:v>
                </c:pt>
                <c:pt idx="100">
                  <c:v>-367.30769230769363</c:v>
                </c:pt>
              </c:numCache>
            </c:numRef>
          </c:yVal>
          <c:smooth val="1"/>
          <c:extLst>
            <c:ext xmlns:c16="http://schemas.microsoft.com/office/drawing/2014/chart" uri="{C3380CC4-5D6E-409C-BE32-E72D297353CC}">
              <c16:uniqueId val="{00000005-D95A-4548-B278-9C08062A4C91}"/>
            </c:ext>
          </c:extLst>
        </c:ser>
        <c:ser>
          <c:idx val="3"/>
          <c:order val="5"/>
          <c:tx>
            <c:strRef>
              <c:f>WatLimNI!$M$22</c:f>
              <c:strCache>
                <c:ptCount val="1"/>
                <c:pt idx="0">
                  <c:v>NI Rainfed</c:v>
                </c:pt>
              </c:strCache>
            </c:strRef>
          </c:tx>
          <c:spPr>
            <a:ln>
              <a:solidFill>
                <a:schemeClr val="accent2">
                  <a:lumMod val="75000"/>
                </a:schemeClr>
              </a:solidFill>
            </a:ln>
          </c:spPr>
          <c:marker>
            <c:symbol val="none"/>
          </c:marker>
          <c:xVal>
            <c:numRef>
              <c:f>WatLimNI!$D$25:$D$125</c:f>
              <c:numCache>
                <c:formatCode>0</c:formatCode>
                <c:ptCount val="101"/>
                <c:pt idx="0">
                  <c:v>520</c:v>
                </c:pt>
                <c:pt idx="1">
                  <c:v>509.97363140350592</c:v>
                </c:pt>
                <c:pt idx="2">
                  <c:v>500.09241534094667</c:v>
                </c:pt>
                <c:pt idx="3">
                  <c:v>490.35325417549376</c:v>
                </c:pt>
                <c:pt idx="4">
                  <c:v>480.75313807531364</c:v>
                </c:pt>
                <c:pt idx="5">
                  <c:v>471.28914192761295</c:v>
                </c:pt>
                <c:pt idx="6">
                  <c:v>461.95842238197019</c:v>
                </c:pt>
                <c:pt idx="7">
                  <c:v>452.75821501667974</c:v>
                </c:pt>
                <c:pt idx="8">
                  <c:v>443.68583162217658</c:v>
                </c:pt>
                <c:pt idx="9">
                  <c:v>434.7386575959373</c:v>
                </c:pt>
                <c:pt idx="10">
                  <c:v>425.9141494435612</c:v>
                </c:pt>
                <c:pt idx="11">
                  <c:v>417.20983238101252</c:v>
                </c:pt>
                <c:pt idx="12">
                  <c:v>408.62329803328282</c:v>
                </c:pt>
                <c:pt idx="13">
                  <c:v>400.15220222497686</c:v>
                </c:pt>
                <c:pt idx="14">
                  <c:v>391.79426285857136</c:v>
                </c:pt>
                <c:pt idx="15">
                  <c:v>383.5472578763127</c:v>
                </c:pt>
                <c:pt idx="16">
                  <c:v>375.4090233019333</c:v>
                </c:pt>
                <c:pt idx="17">
                  <c:v>367.37745135856545</c:v>
                </c:pt>
                <c:pt idx="18">
                  <c:v>359.45048865941345</c:v>
                </c:pt>
                <c:pt idx="19">
                  <c:v>351.62613446792864</c:v>
                </c:pt>
                <c:pt idx="20">
                  <c:v>343.90243902439016</c:v>
                </c:pt>
                <c:pt idx="21">
                  <c:v>336.27750193595398</c:v>
                </c:pt>
                <c:pt idx="22">
                  <c:v>328.74947062738198</c:v>
                </c:pt>
                <c:pt idx="23">
                  <c:v>321.31653884979886</c:v>
                </c:pt>
                <c:pt idx="24">
                  <c:v>313.97694524495671</c:v>
                </c:pt>
                <c:pt idx="25">
                  <c:v>306.72897196261664</c:v>
                </c:pt>
                <c:pt idx="26">
                  <c:v>299.57094332876454</c:v>
                </c:pt>
                <c:pt idx="27">
                  <c:v>292.50122456249687</c:v>
                </c:pt>
                <c:pt idx="28">
                  <c:v>285.51822053951719</c:v>
                </c:pt>
                <c:pt idx="29">
                  <c:v>278.62037460027392</c:v>
                </c:pt>
                <c:pt idx="30">
                  <c:v>271.8061674008809</c:v>
                </c:pt>
                <c:pt idx="31">
                  <c:v>265.07411580503071</c:v>
                </c:pt>
                <c:pt idx="32">
                  <c:v>258.42277181521217</c:v>
                </c:pt>
                <c:pt idx="33">
                  <c:v>251.85072154161386</c:v>
                </c:pt>
                <c:pt idx="34">
                  <c:v>245.35658420717201</c:v>
                </c:pt>
                <c:pt idx="35">
                  <c:v>238.93901118729667</c:v>
                </c:pt>
                <c:pt idx="36">
                  <c:v>232.59668508287274</c:v>
                </c:pt>
                <c:pt idx="37">
                  <c:v>226.32831882519955</c:v>
                </c:pt>
                <c:pt idx="38">
                  <c:v>220.13265481159561</c:v>
                </c:pt>
                <c:pt idx="39">
                  <c:v>214.00846407044824</c:v>
                </c:pt>
                <c:pt idx="40">
                  <c:v>207.95454545454515</c:v>
                </c:pt>
                <c:pt idx="41">
                  <c:v>201.969724861581</c:v>
                </c:pt>
                <c:pt idx="42">
                  <c:v>196.05285448077228</c:v>
                </c:pt>
                <c:pt idx="43">
                  <c:v>190.20281206457301</c:v>
                </c:pt>
                <c:pt idx="44">
                  <c:v>184.41850022451706</c:v>
                </c:pt>
                <c:pt idx="45">
                  <c:v>178.69884575026219</c:v>
                </c:pt>
                <c:pt idx="46">
                  <c:v>173.0427989509511</c:v>
                </c:pt>
                <c:pt idx="47">
                  <c:v>167.44933301804099</c:v>
                </c:pt>
                <c:pt idx="48">
                  <c:v>161.91744340878802</c:v>
                </c:pt>
                <c:pt idx="49">
                  <c:v>156.44614724961596</c:v>
                </c:pt>
                <c:pt idx="50">
                  <c:v>151.0344827586205</c:v>
                </c:pt>
                <c:pt idx="51">
                  <c:v>145.68150868650156</c:v>
                </c:pt>
                <c:pt idx="52">
                  <c:v>140.38630377524117</c:v>
                </c:pt>
                <c:pt idx="53">
                  <c:v>135.14796623387258</c:v>
                </c:pt>
                <c:pt idx="54">
                  <c:v>129.96561323071856</c:v>
                </c:pt>
                <c:pt idx="55">
                  <c:v>124.83838040149691</c:v>
                </c:pt>
                <c:pt idx="56">
                  <c:v>119.76542137271912</c:v>
                </c:pt>
                <c:pt idx="57">
                  <c:v>114.74590729983314</c:v>
                </c:pt>
                <c:pt idx="58">
                  <c:v>109.77902641957948</c:v>
                </c:pt>
                <c:pt idx="59">
                  <c:v>104.86398361605485</c:v>
                </c:pt>
                <c:pt idx="60">
                  <c:v>99.999999999999716</c:v>
                </c:pt>
                <c:pt idx="61">
                  <c:v>95.186312500837786</c:v>
                </c:pt>
                <c:pt idx="62">
                  <c:v>90.422173471025488</c:v>
                </c:pt>
                <c:pt idx="63">
                  <c:v>85.706850302277886</c:v>
                </c:pt>
                <c:pt idx="64">
                  <c:v>81.039625053259186</c:v>
                </c:pt>
                <c:pt idx="65">
                  <c:v>76.419794088342471</c:v>
                </c:pt>
                <c:pt idx="66">
                  <c:v>71.846667727055618</c:v>
                </c:pt>
                <c:pt idx="67">
                  <c:v>67.319569903849683</c:v>
                </c:pt>
                <c:pt idx="68">
                  <c:v>62.837837837837519</c:v>
                </c:pt>
                <c:pt idx="69">
                  <c:v>58.400821712163435</c:v>
                </c:pt>
                <c:pt idx="70">
                  <c:v>54.007884362680414</c:v>
                </c:pt>
                <c:pt idx="71">
                  <c:v>49.658400975622342</c:v>
                </c:pt>
                <c:pt idx="72">
                  <c:v>45.351758793969537</c:v>
                </c:pt>
                <c:pt idx="73">
                  <c:v>41.087356832220799</c:v>
                </c:pt>
                <c:pt idx="74">
                  <c:v>36.864605599290755</c:v>
                </c:pt>
                <c:pt idx="75">
                  <c:v>32.682926829267963</c:v>
                </c:pt>
                <c:pt idx="76">
                  <c:v>28.541753219775423</c:v>
                </c:pt>
                <c:pt idx="77">
                  <c:v>24.440528177683017</c:v>
                </c:pt>
                <c:pt idx="78">
                  <c:v>20.378705571938237</c:v>
                </c:pt>
                <c:pt idx="79">
                  <c:v>16.355749493280086</c:v>
                </c:pt>
                <c:pt idx="80">
                  <c:v>12.371134020618292</c:v>
                </c:pt>
                <c:pt idx="81">
                  <c:v>8.4243429938638066</c:v>
                </c:pt>
                <c:pt idx="82">
                  <c:v>4.5148697930040393</c:v>
                </c:pt>
                <c:pt idx="83">
                  <c:v>0.64221712322588975</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WatLimNI!$M$25:$M$125</c:f>
              <c:numCache>
                <c:formatCode>"$"#,##0</c:formatCode>
                <c:ptCount val="101"/>
                <c:pt idx="0">
                  <c:v>116.52789835582293</c:v>
                </c:pt>
                <c:pt idx="1">
                  <c:v>113.40380190862524</c:v>
                </c:pt>
                <c:pt idx="2">
                  <c:v>110.20237023024487</c:v>
                </c:pt>
                <c:pt idx="3">
                  <c:v>106.92070667234643</c:v>
                </c:pt>
                <c:pt idx="4">
                  <c:v>103.55576820417771</c:v>
                </c:pt>
                <c:pt idx="5">
                  <c:v>100.1043560487836</c:v>
                </c:pt>
                <c:pt idx="6">
                  <c:v>96.563105591146694</c:v>
                </c:pt>
                <c:pt idx="7">
                  <c:v>92.928475491342297</c:v>
                </c:pt>
                <c:pt idx="8">
                  <c:v>89.19673592867224</c:v>
                </c:pt>
                <c:pt idx="9">
                  <c:v>85.36395589475795</c:v>
                </c:pt>
                <c:pt idx="10">
                  <c:v>81.425989444606373</c:v>
                </c:pt>
                <c:pt idx="11">
                  <c:v>77.378460804572185</c:v>
                </c:pt>
                <c:pt idx="12">
                  <c:v>73.216748224782094</c:v>
                </c:pt>
                <c:pt idx="13">
                  <c:v>68.93596645076363</c:v>
                </c:pt>
                <c:pt idx="14">
                  <c:v>64.530947674537174</c:v>
                </c:pt>
                <c:pt idx="15">
                  <c:v>59.996220809027257</c:v>
                </c:pt>
                <c:pt idx="16">
                  <c:v>55.325988911052193</c:v>
                </c:pt>
                <c:pt idx="17">
                  <c:v>50.51410455702473</c:v>
                </c:pt>
                <c:pt idx="18">
                  <c:v>45.554042951448672</c:v>
                </c:pt>
                <c:pt idx="19">
                  <c:v>40.438872520882974</c:v>
                </c:pt>
                <c:pt idx="20">
                  <c:v>35.161222714716317</c:v>
                </c:pt>
                <c:pt idx="21">
                  <c:v>29.713248698237749</c:v>
                </c:pt>
                <c:pt idx="22">
                  <c:v>24.086592582355106</c:v>
                </c:pt>
                <c:pt idx="23">
                  <c:v>18.272340787022287</c:v>
                </c:pt>
                <c:pt idx="24">
                  <c:v>12.260977080953893</c:v>
                </c:pt>
                <c:pt idx="25">
                  <c:v>6.0423307773002835</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1"/>
          <c:extLst>
            <c:ext xmlns:c16="http://schemas.microsoft.com/office/drawing/2014/chart" uri="{C3380CC4-5D6E-409C-BE32-E72D297353CC}">
              <c16:uniqueId val="{00000004-D95A-4548-B278-9C08062A4C91}"/>
            </c:ext>
          </c:extLst>
        </c:ser>
        <c:ser>
          <c:idx val="5"/>
          <c:order val="6"/>
          <c:tx>
            <c:v>NI Rainfed per Ha</c:v>
          </c:tx>
          <c:spPr>
            <a:ln>
              <a:solidFill>
                <a:schemeClr val="accent2">
                  <a:lumMod val="75000"/>
                </a:schemeClr>
              </a:solidFill>
              <a:prstDash val="sysDash"/>
            </a:ln>
          </c:spPr>
          <c:marker>
            <c:symbol val="none"/>
          </c:marker>
          <c:xVal>
            <c:numRef>
              <c:f>WatLimNI!$D$25:$D$125</c:f>
              <c:numCache>
                <c:formatCode>0</c:formatCode>
                <c:ptCount val="101"/>
                <c:pt idx="0">
                  <c:v>520</c:v>
                </c:pt>
                <c:pt idx="1">
                  <c:v>509.97363140350592</c:v>
                </c:pt>
                <c:pt idx="2">
                  <c:v>500.09241534094667</c:v>
                </c:pt>
                <c:pt idx="3">
                  <c:v>490.35325417549376</c:v>
                </c:pt>
                <c:pt idx="4">
                  <c:v>480.75313807531364</c:v>
                </c:pt>
                <c:pt idx="5">
                  <c:v>471.28914192761295</c:v>
                </c:pt>
                <c:pt idx="6">
                  <c:v>461.95842238197019</c:v>
                </c:pt>
                <c:pt idx="7">
                  <c:v>452.75821501667974</c:v>
                </c:pt>
                <c:pt idx="8">
                  <c:v>443.68583162217658</c:v>
                </c:pt>
                <c:pt idx="9">
                  <c:v>434.7386575959373</c:v>
                </c:pt>
                <c:pt idx="10">
                  <c:v>425.9141494435612</c:v>
                </c:pt>
                <c:pt idx="11">
                  <c:v>417.20983238101252</c:v>
                </c:pt>
                <c:pt idx="12">
                  <c:v>408.62329803328282</c:v>
                </c:pt>
                <c:pt idx="13">
                  <c:v>400.15220222497686</c:v>
                </c:pt>
                <c:pt idx="14">
                  <c:v>391.79426285857136</c:v>
                </c:pt>
                <c:pt idx="15">
                  <c:v>383.5472578763127</c:v>
                </c:pt>
                <c:pt idx="16">
                  <c:v>375.4090233019333</c:v>
                </c:pt>
                <c:pt idx="17">
                  <c:v>367.37745135856545</c:v>
                </c:pt>
                <c:pt idx="18">
                  <c:v>359.45048865941345</c:v>
                </c:pt>
                <c:pt idx="19">
                  <c:v>351.62613446792864</c:v>
                </c:pt>
                <c:pt idx="20">
                  <c:v>343.90243902439016</c:v>
                </c:pt>
                <c:pt idx="21">
                  <c:v>336.27750193595398</c:v>
                </c:pt>
                <c:pt idx="22">
                  <c:v>328.74947062738198</c:v>
                </c:pt>
                <c:pt idx="23">
                  <c:v>321.31653884979886</c:v>
                </c:pt>
                <c:pt idx="24">
                  <c:v>313.97694524495671</c:v>
                </c:pt>
                <c:pt idx="25">
                  <c:v>306.72897196261664</c:v>
                </c:pt>
                <c:pt idx="26">
                  <c:v>299.57094332876454</c:v>
                </c:pt>
                <c:pt idx="27">
                  <c:v>292.50122456249687</c:v>
                </c:pt>
                <c:pt idx="28">
                  <c:v>285.51822053951719</c:v>
                </c:pt>
                <c:pt idx="29">
                  <c:v>278.62037460027392</c:v>
                </c:pt>
                <c:pt idx="30">
                  <c:v>271.8061674008809</c:v>
                </c:pt>
                <c:pt idx="31">
                  <c:v>265.07411580503071</c:v>
                </c:pt>
                <c:pt idx="32">
                  <c:v>258.42277181521217</c:v>
                </c:pt>
                <c:pt idx="33">
                  <c:v>251.85072154161386</c:v>
                </c:pt>
                <c:pt idx="34">
                  <c:v>245.35658420717201</c:v>
                </c:pt>
                <c:pt idx="35">
                  <c:v>238.93901118729667</c:v>
                </c:pt>
                <c:pt idx="36">
                  <c:v>232.59668508287274</c:v>
                </c:pt>
                <c:pt idx="37">
                  <c:v>226.32831882519955</c:v>
                </c:pt>
                <c:pt idx="38">
                  <c:v>220.13265481159561</c:v>
                </c:pt>
                <c:pt idx="39">
                  <c:v>214.00846407044824</c:v>
                </c:pt>
                <c:pt idx="40">
                  <c:v>207.95454545454515</c:v>
                </c:pt>
                <c:pt idx="41">
                  <c:v>201.969724861581</c:v>
                </c:pt>
                <c:pt idx="42">
                  <c:v>196.05285448077228</c:v>
                </c:pt>
                <c:pt idx="43">
                  <c:v>190.20281206457301</c:v>
                </c:pt>
                <c:pt idx="44">
                  <c:v>184.41850022451706</c:v>
                </c:pt>
                <c:pt idx="45">
                  <c:v>178.69884575026219</c:v>
                </c:pt>
                <c:pt idx="46">
                  <c:v>173.0427989509511</c:v>
                </c:pt>
                <c:pt idx="47">
                  <c:v>167.44933301804099</c:v>
                </c:pt>
                <c:pt idx="48">
                  <c:v>161.91744340878802</c:v>
                </c:pt>
                <c:pt idx="49">
                  <c:v>156.44614724961596</c:v>
                </c:pt>
                <c:pt idx="50">
                  <c:v>151.0344827586205</c:v>
                </c:pt>
                <c:pt idx="51">
                  <c:v>145.68150868650156</c:v>
                </c:pt>
                <c:pt idx="52">
                  <c:v>140.38630377524117</c:v>
                </c:pt>
                <c:pt idx="53">
                  <c:v>135.14796623387258</c:v>
                </c:pt>
                <c:pt idx="54">
                  <c:v>129.96561323071856</c:v>
                </c:pt>
                <c:pt idx="55">
                  <c:v>124.83838040149691</c:v>
                </c:pt>
                <c:pt idx="56">
                  <c:v>119.76542137271912</c:v>
                </c:pt>
                <c:pt idx="57">
                  <c:v>114.74590729983314</c:v>
                </c:pt>
                <c:pt idx="58">
                  <c:v>109.77902641957948</c:v>
                </c:pt>
                <c:pt idx="59">
                  <c:v>104.86398361605485</c:v>
                </c:pt>
                <c:pt idx="60">
                  <c:v>99.999999999999716</c:v>
                </c:pt>
                <c:pt idx="61">
                  <c:v>95.186312500837786</c:v>
                </c:pt>
                <c:pt idx="62">
                  <c:v>90.422173471025488</c:v>
                </c:pt>
                <c:pt idx="63">
                  <c:v>85.706850302277886</c:v>
                </c:pt>
                <c:pt idx="64">
                  <c:v>81.039625053259186</c:v>
                </c:pt>
                <c:pt idx="65">
                  <c:v>76.419794088342471</c:v>
                </c:pt>
                <c:pt idx="66">
                  <c:v>71.846667727055618</c:v>
                </c:pt>
                <c:pt idx="67">
                  <c:v>67.319569903849683</c:v>
                </c:pt>
                <c:pt idx="68">
                  <c:v>62.837837837837519</c:v>
                </c:pt>
                <c:pt idx="69">
                  <c:v>58.400821712163435</c:v>
                </c:pt>
                <c:pt idx="70">
                  <c:v>54.007884362680414</c:v>
                </c:pt>
                <c:pt idx="71">
                  <c:v>49.658400975622342</c:v>
                </c:pt>
                <c:pt idx="72">
                  <c:v>45.351758793969537</c:v>
                </c:pt>
                <c:pt idx="73">
                  <c:v>41.087356832220799</c:v>
                </c:pt>
                <c:pt idx="74">
                  <c:v>36.864605599290755</c:v>
                </c:pt>
                <c:pt idx="75">
                  <c:v>32.682926829267963</c:v>
                </c:pt>
                <c:pt idx="76">
                  <c:v>28.541753219775423</c:v>
                </c:pt>
                <c:pt idx="77">
                  <c:v>24.440528177683017</c:v>
                </c:pt>
                <c:pt idx="78">
                  <c:v>20.378705571938237</c:v>
                </c:pt>
                <c:pt idx="79">
                  <c:v>16.355749493280086</c:v>
                </c:pt>
                <c:pt idx="80">
                  <c:v>12.371134020618292</c:v>
                </c:pt>
                <c:pt idx="81">
                  <c:v>8.4243429938638066</c:v>
                </c:pt>
                <c:pt idx="82">
                  <c:v>4.5148697930040393</c:v>
                </c:pt>
                <c:pt idx="83">
                  <c:v>0.64221712322588975</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WatLimNI!$I$25:$I$125</c:f>
              <c:numCache>
                <c:formatCode>"$"#,##0</c:formatCode>
                <c:ptCount val="101"/>
                <c:pt idx="0">
                  <c:v>275.42957793194506</c:v>
                </c:pt>
                <c:pt idx="1">
                  <c:v>275.42957793194506</c:v>
                </c:pt>
                <c:pt idx="2">
                  <c:v>275.42957793194506</c:v>
                </c:pt>
                <c:pt idx="3">
                  <c:v>275.42957793194506</c:v>
                </c:pt>
                <c:pt idx="4">
                  <c:v>275.42957793194506</c:v>
                </c:pt>
                <c:pt idx="5">
                  <c:v>275.42957793194506</c:v>
                </c:pt>
                <c:pt idx="6">
                  <c:v>275.42957793194506</c:v>
                </c:pt>
                <c:pt idx="7">
                  <c:v>275.42957793194506</c:v>
                </c:pt>
                <c:pt idx="8">
                  <c:v>275.42957793194506</c:v>
                </c:pt>
                <c:pt idx="9">
                  <c:v>275.42957793194506</c:v>
                </c:pt>
                <c:pt idx="10">
                  <c:v>275.42957793194506</c:v>
                </c:pt>
                <c:pt idx="11">
                  <c:v>275.42957793194506</c:v>
                </c:pt>
                <c:pt idx="12">
                  <c:v>275.42957793194506</c:v>
                </c:pt>
                <c:pt idx="13">
                  <c:v>275.42957793194506</c:v>
                </c:pt>
                <c:pt idx="14">
                  <c:v>275.42957793194506</c:v>
                </c:pt>
                <c:pt idx="15">
                  <c:v>275.42957793194506</c:v>
                </c:pt>
                <c:pt idx="16">
                  <c:v>275.42957793194506</c:v>
                </c:pt>
                <c:pt idx="17">
                  <c:v>275.42957793194506</c:v>
                </c:pt>
                <c:pt idx="18">
                  <c:v>275.42957793194506</c:v>
                </c:pt>
                <c:pt idx="19">
                  <c:v>275.42957793194506</c:v>
                </c:pt>
                <c:pt idx="20">
                  <c:v>275.42957793194506</c:v>
                </c:pt>
                <c:pt idx="21">
                  <c:v>275.42957793194506</c:v>
                </c:pt>
                <c:pt idx="22">
                  <c:v>275.42957793194506</c:v>
                </c:pt>
                <c:pt idx="23">
                  <c:v>275.42957793194506</c:v>
                </c:pt>
                <c:pt idx="24">
                  <c:v>275.42957793194506</c:v>
                </c:pt>
                <c:pt idx="25">
                  <c:v>275.42957793194506</c:v>
                </c:pt>
                <c:pt idx="26">
                  <c:v>275.42957793194506</c:v>
                </c:pt>
                <c:pt idx="27">
                  <c:v>275.42957793194506</c:v>
                </c:pt>
                <c:pt idx="28">
                  <c:v>275.42957793194506</c:v>
                </c:pt>
                <c:pt idx="29">
                  <c:v>275.42957793194506</c:v>
                </c:pt>
                <c:pt idx="30">
                  <c:v>275.42957793194506</c:v>
                </c:pt>
                <c:pt idx="31">
                  <c:v>275.42957793194506</c:v>
                </c:pt>
                <c:pt idx="32">
                  <c:v>275.42957793194506</c:v>
                </c:pt>
                <c:pt idx="33">
                  <c:v>275.42957793194506</c:v>
                </c:pt>
                <c:pt idx="34">
                  <c:v>275.42957793194506</c:v>
                </c:pt>
                <c:pt idx="35">
                  <c:v>275.42957793194506</c:v>
                </c:pt>
                <c:pt idx="36">
                  <c:v>275.42957793194506</c:v>
                </c:pt>
                <c:pt idx="37">
                  <c:v>275.42957793194506</c:v>
                </c:pt>
                <c:pt idx="38">
                  <c:v>275.42957793194506</c:v>
                </c:pt>
                <c:pt idx="39">
                  <c:v>275.42957793194506</c:v>
                </c:pt>
                <c:pt idx="40">
                  <c:v>275.42957793194506</c:v>
                </c:pt>
                <c:pt idx="41">
                  <c:v>275.42957793194506</c:v>
                </c:pt>
                <c:pt idx="42">
                  <c:v>275.42957793194506</c:v>
                </c:pt>
                <c:pt idx="43">
                  <c:v>275.42957793194506</c:v>
                </c:pt>
                <c:pt idx="44">
                  <c:v>275.42957793194506</c:v>
                </c:pt>
                <c:pt idx="45">
                  <c:v>275.42957793194506</c:v>
                </c:pt>
                <c:pt idx="46">
                  <c:v>275.42957793194506</c:v>
                </c:pt>
                <c:pt idx="47">
                  <c:v>275.42957793194506</c:v>
                </c:pt>
                <c:pt idx="48">
                  <c:v>275.42957793194506</c:v>
                </c:pt>
                <c:pt idx="49">
                  <c:v>275.42957793194506</c:v>
                </c:pt>
                <c:pt idx="50">
                  <c:v>275.42957793194506</c:v>
                </c:pt>
                <c:pt idx="51">
                  <c:v>275.42957793194506</c:v>
                </c:pt>
                <c:pt idx="52">
                  <c:v>275.42957793194506</c:v>
                </c:pt>
                <c:pt idx="53">
                  <c:v>275.42957793194506</c:v>
                </c:pt>
                <c:pt idx="54">
                  <c:v>275.42957793194506</c:v>
                </c:pt>
                <c:pt idx="55">
                  <c:v>275.42957793194506</c:v>
                </c:pt>
                <c:pt idx="56">
                  <c:v>275.42957793194506</c:v>
                </c:pt>
                <c:pt idx="57">
                  <c:v>275.42957793194506</c:v>
                </c:pt>
                <c:pt idx="58">
                  <c:v>275.42957793194506</c:v>
                </c:pt>
                <c:pt idx="59">
                  <c:v>275.42957793194506</c:v>
                </c:pt>
                <c:pt idx="60">
                  <c:v>275.42957793194506</c:v>
                </c:pt>
                <c:pt idx="61">
                  <c:v>275.42957793194506</c:v>
                </c:pt>
                <c:pt idx="62">
                  <c:v>275.42957793194506</c:v>
                </c:pt>
                <c:pt idx="63">
                  <c:v>275.42957793194506</c:v>
                </c:pt>
                <c:pt idx="64">
                  <c:v>275.42957793194506</c:v>
                </c:pt>
                <c:pt idx="65">
                  <c:v>275.42957793194506</c:v>
                </c:pt>
                <c:pt idx="66">
                  <c:v>275.42957793194506</c:v>
                </c:pt>
                <c:pt idx="67">
                  <c:v>275.42957793194506</c:v>
                </c:pt>
                <c:pt idx="68">
                  <c:v>275.42957793194506</c:v>
                </c:pt>
                <c:pt idx="69">
                  <c:v>275.42957793194506</c:v>
                </c:pt>
                <c:pt idx="70">
                  <c:v>275.42957793194506</c:v>
                </c:pt>
                <c:pt idx="71">
                  <c:v>275.42957793194506</c:v>
                </c:pt>
                <c:pt idx="72">
                  <c:v>275.42957793194506</c:v>
                </c:pt>
                <c:pt idx="73">
                  <c:v>275.42957793194506</c:v>
                </c:pt>
                <c:pt idx="74">
                  <c:v>275.42957793194506</c:v>
                </c:pt>
                <c:pt idx="75">
                  <c:v>275.42957793194506</c:v>
                </c:pt>
                <c:pt idx="76">
                  <c:v>275.42957793194506</c:v>
                </c:pt>
                <c:pt idx="77">
                  <c:v>275.42957793194506</c:v>
                </c:pt>
                <c:pt idx="78">
                  <c:v>275.42957793194506</c:v>
                </c:pt>
                <c:pt idx="79">
                  <c:v>275.42957793194506</c:v>
                </c:pt>
                <c:pt idx="80">
                  <c:v>275.42957793194506</c:v>
                </c:pt>
                <c:pt idx="81">
                  <c:v>275.42957793194506</c:v>
                </c:pt>
                <c:pt idx="82">
                  <c:v>275.42957793194506</c:v>
                </c:pt>
                <c:pt idx="83">
                  <c:v>275.42957793194506</c:v>
                </c:pt>
                <c:pt idx="84">
                  <c:v>275.42957793194506</c:v>
                </c:pt>
                <c:pt idx="85">
                  <c:v>275.42957793194506</c:v>
                </c:pt>
                <c:pt idx="86">
                  <c:v>275.42957793194506</c:v>
                </c:pt>
                <c:pt idx="87">
                  <c:v>275.42957793194506</c:v>
                </c:pt>
                <c:pt idx="88">
                  <c:v>275.42957793194506</c:v>
                </c:pt>
                <c:pt idx="89">
                  <c:v>275.42957793194506</c:v>
                </c:pt>
                <c:pt idx="90">
                  <c:v>275.42957793194506</c:v>
                </c:pt>
                <c:pt idx="91">
                  <c:v>275.42957793194506</c:v>
                </c:pt>
                <c:pt idx="92">
                  <c:v>275.42957793194506</c:v>
                </c:pt>
                <c:pt idx="93">
                  <c:v>275.42957793194506</c:v>
                </c:pt>
                <c:pt idx="94">
                  <c:v>275.42957793194506</c:v>
                </c:pt>
                <c:pt idx="95">
                  <c:v>275.42957793194506</c:v>
                </c:pt>
                <c:pt idx="96">
                  <c:v>275.42957793194506</c:v>
                </c:pt>
                <c:pt idx="97">
                  <c:v>275.42957793194506</c:v>
                </c:pt>
                <c:pt idx="98">
                  <c:v>275.42957793194506</c:v>
                </c:pt>
                <c:pt idx="99">
                  <c:v>275.42957793194506</c:v>
                </c:pt>
                <c:pt idx="100">
                  <c:v>275.42957793194506</c:v>
                </c:pt>
              </c:numCache>
            </c:numRef>
          </c:yVal>
          <c:smooth val="1"/>
          <c:extLst>
            <c:ext xmlns:c16="http://schemas.microsoft.com/office/drawing/2014/chart" uri="{C3380CC4-5D6E-409C-BE32-E72D297353CC}">
              <c16:uniqueId val="{00000001-BAFE-4E80-9575-A7BCDF8E45BC}"/>
            </c:ext>
          </c:extLst>
        </c:ser>
        <c:dLbls>
          <c:showLegendKey val="0"/>
          <c:showVal val="0"/>
          <c:showCatName val="0"/>
          <c:showSerName val="0"/>
          <c:showPercent val="0"/>
          <c:showBubbleSize val="0"/>
        </c:dLbls>
        <c:axId val="54024832"/>
        <c:axId val="54043776"/>
      </c:scatterChart>
      <c:scatterChart>
        <c:scatterStyle val="smoothMarker"/>
        <c:varyColors val="0"/>
        <c:ser>
          <c:idx val="4"/>
          <c:order val="7"/>
          <c:tx>
            <c:strRef>
              <c:f>WatLimNI!$J$22</c:f>
              <c:strCache>
                <c:ptCount val="1"/>
                <c:pt idx="0">
                  <c:v>Ai</c:v>
                </c:pt>
              </c:strCache>
            </c:strRef>
          </c:tx>
          <c:spPr>
            <a:ln>
              <a:solidFill>
                <a:schemeClr val="tx1"/>
              </a:solidFill>
              <a:prstDash val="sysDot"/>
            </a:ln>
          </c:spPr>
          <c:marker>
            <c:symbol val="none"/>
          </c:marker>
          <c:xVal>
            <c:numRef>
              <c:f>WatLimNI!$D$25:$D$125</c:f>
              <c:numCache>
                <c:formatCode>0</c:formatCode>
                <c:ptCount val="101"/>
                <c:pt idx="0">
                  <c:v>520</c:v>
                </c:pt>
                <c:pt idx="1">
                  <c:v>509.97363140350592</c:v>
                </c:pt>
                <c:pt idx="2">
                  <c:v>500.09241534094667</c:v>
                </c:pt>
                <c:pt idx="3">
                  <c:v>490.35325417549376</c:v>
                </c:pt>
                <c:pt idx="4">
                  <c:v>480.75313807531364</c:v>
                </c:pt>
                <c:pt idx="5">
                  <c:v>471.28914192761295</c:v>
                </c:pt>
                <c:pt idx="6">
                  <c:v>461.95842238197019</c:v>
                </c:pt>
                <c:pt idx="7">
                  <c:v>452.75821501667974</c:v>
                </c:pt>
                <c:pt idx="8">
                  <c:v>443.68583162217658</c:v>
                </c:pt>
                <c:pt idx="9">
                  <c:v>434.7386575959373</c:v>
                </c:pt>
                <c:pt idx="10">
                  <c:v>425.9141494435612</c:v>
                </c:pt>
                <c:pt idx="11">
                  <c:v>417.20983238101252</c:v>
                </c:pt>
                <c:pt idx="12">
                  <c:v>408.62329803328282</c:v>
                </c:pt>
                <c:pt idx="13">
                  <c:v>400.15220222497686</c:v>
                </c:pt>
                <c:pt idx="14">
                  <c:v>391.79426285857136</c:v>
                </c:pt>
                <c:pt idx="15">
                  <c:v>383.5472578763127</c:v>
                </c:pt>
                <c:pt idx="16">
                  <c:v>375.4090233019333</c:v>
                </c:pt>
                <c:pt idx="17">
                  <c:v>367.37745135856545</c:v>
                </c:pt>
                <c:pt idx="18">
                  <c:v>359.45048865941345</c:v>
                </c:pt>
                <c:pt idx="19">
                  <c:v>351.62613446792864</c:v>
                </c:pt>
                <c:pt idx="20">
                  <c:v>343.90243902439016</c:v>
                </c:pt>
                <c:pt idx="21">
                  <c:v>336.27750193595398</c:v>
                </c:pt>
                <c:pt idx="22">
                  <c:v>328.74947062738198</c:v>
                </c:pt>
                <c:pt idx="23">
                  <c:v>321.31653884979886</c:v>
                </c:pt>
                <c:pt idx="24">
                  <c:v>313.97694524495671</c:v>
                </c:pt>
                <c:pt idx="25">
                  <c:v>306.72897196261664</c:v>
                </c:pt>
                <c:pt idx="26">
                  <c:v>299.57094332876454</c:v>
                </c:pt>
                <c:pt idx="27">
                  <c:v>292.50122456249687</c:v>
                </c:pt>
                <c:pt idx="28">
                  <c:v>285.51822053951719</c:v>
                </c:pt>
                <c:pt idx="29">
                  <c:v>278.62037460027392</c:v>
                </c:pt>
                <c:pt idx="30">
                  <c:v>271.8061674008809</c:v>
                </c:pt>
                <c:pt idx="31">
                  <c:v>265.07411580503071</c:v>
                </c:pt>
                <c:pt idx="32">
                  <c:v>258.42277181521217</c:v>
                </c:pt>
                <c:pt idx="33">
                  <c:v>251.85072154161386</c:v>
                </c:pt>
                <c:pt idx="34">
                  <c:v>245.35658420717201</c:v>
                </c:pt>
                <c:pt idx="35">
                  <c:v>238.93901118729667</c:v>
                </c:pt>
                <c:pt idx="36">
                  <c:v>232.59668508287274</c:v>
                </c:pt>
                <c:pt idx="37">
                  <c:v>226.32831882519955</c:v>
                </c:pt>
                <c:pt idx="38">
                  <c:v>220.13265481159561</c:v>
                </c:pt>
                <c:pt idx="39">
                  <c:v>214.00846407044824</c:v>
                </c:pt>
                <c:pt idx="40">
                  <c:v>207.95454545454515</c:v>
                </c:pt>
                <c:pt idx="41">
                  <c:v>201.969724861581</c:v>
                </c:pt>
                <c:pt idx="42">
                  <c:v>196.05285448077228</c:v>
                </c:pt>
                <c:pt idx="43">
                  <c:v>190.20281206457301</c:v>
                </c:pt>
                <c:pt idx="44">
                  <c:v>184.41850022451706</c:v>
                </c:pt>
                <c:pt idx="45">
                  <c:v>178.69884575026219</c:v>
                </c:pt>
                <c:pt idx="46">
                  <c:v>173.0427989509511</c:v>
                </c:pt>
                <c:pt idx="47">
                  <c:v>167.44933301804099</c:v>
                </c:pt>
                <c:pt idx="48">
                  <c:v>161.91744340878802</c:v>
                </c:pt>
                <c:pt idx="49">
                  <c:v>156.44614724961596</c:v>
                </c:pt>
                <c:pt idx="50">
                  <c:v>151.0344827586205</c:v>
                </c:pt>
                <c:pt idx="51">
                  <c:v>145.68150868650156</c:v>
                </c:pt>
                <c:pt idx="52">
                  <c:v>140.38630377524117</c:v>
                </c:pt>
                <c:pt idx="53">
                  <c:v>135.14796623387258</c:v>
                </c:pt>
                <c:pt idx="54">
                  <c:v>129.96561323071856</c:v>
                </c:pt>
                <c:pt idx="55">
                  <c:v>124.83838040149691</c:v>
                </c:pt>
                <c:pt idx="56">
                  <c:v>119.76542137271912</c:v>
                </c:pt>
                <c:pt idx="57">
                  <c:v>114.74590729983314</c:v>
                </c:pt>
                <c:pt idx="58">
                  <c:v>109.77902641957948</c:v>
                </c:pt>
                <c:pt idx="59">
                  <c:v>104.86398361605485</c:v>
                </c:pt>
                <c:pt idx="60">
                  <c:v>99.999999999999716</c:v>
                </c:pt>
                <c:pt idx="61">
                  <c:v>95.186312500837786</c:v>
                </c:pt>
                <c:pt idx="62">
                  <c:v>90.422173471025488</c:v>
                </c:pt>
                <c:pt idx="63">
                  <c:v>85.706850302277886</c:v>
                </c:pt>
                <c:pt idx="64">
                  <c:v>81.039625053259186</c:v>
                </c:pt>
                <c:pt idx="65">
                  <c:v>76.419794088342471</c:v>
                </c:pt>
                <c:pt idx="66">
                  <c:v>71.846667727055618</c:v>
                </c:pt>
                <c:pt idx="67">
                  <c:v>67.319569903849683</c:v>
                </c:pt>
                <c:pt idx="68">
                  <c:v>62.837837837837519</c:v>
                </c:pt>
                <c:pt idx="69">
                  <c:v>58.400821712163435</c:v>
                </c:pt>
                <c:pt idx="70">
                  <c:v>54.007884362680414</c:v>
                </c:pt>
                <c:pt idx="71">
                  <c:v>49.658400975622342</c:v>
                </c:pt>
                <c:pt idx="72">
                  <c:v>45.351758793969537</c:v>
                </c:pt>
                <c:pt idx="73">
                  <c:v>41.087356832220799</c:v>
                </c:pt>
                <c:pt idx="74">
                  <c:v>36.864605599290755</c:v>
                </c:pt>
                <c:pt idx="75">
                  <c:v>32.682926829267963</c:v>
                </c:pt>
                <c:pt idx="76">
                  <c:v>28.541753219775423</c:v>
                </c:pt>
                <c:pt idx="77">
                  <c:v>24.440528177683017</c:v>
                </c:pt>
                <c:pt idx="78">
                  <c:v>20.378705571938237</c:v>
                </c:pt>
                <c:pt idx="79">
                  <c:v>16.355749493280086</c:v>
                </c:pt>
                <c:pt idx="80">
                  <c:v>12.371134020618292</c:v>
                </c:pt>
                <c:pt idx="81">
                  <c:v>8.4243429938638066</c:v>
                </c:pt>
                <c:pt idx="82">
                  <c:v>4.5148697930040393</c:v>
                </c:pt>
                <c:pt idx="83">
                  <c:v>0.64221712322588975</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WatLimNI!$J$25:$J$125</c:f>
              <c:numCache>
                <c:formatCode>0.000</c:formatCode>
                <c:ptCount val="101"/>
                <c:pt idx="0">
                  <c:v>0.57692307692307687</c:v>
                </c:pt>
                <c:pt idx="1">
                  <c:v>0.58826570929631317</c:v>
                </c:pt>
                <c:pt idx="2">
                  <c:v>0.59988912208450473</c:v>
                </c:pt>
                <c:pt idx="3">
                  <c:v>0.61180383212595602</c:v>
                </c:pt>
                <c:pt idx="4">
                  <c:v>0.62402088772845976</c:v>
                </c:pt>
                <c:pt idx="5">
                  <c:v>0.63655190266632133</c:v>
                </c:pt>
                <c:pt idx="6">
                  <c:v>0.64940909282079307</c:v>
                </c:pt>
                <c:pt idx="7">
                  <c:v>0.66260531570685677</c:v>
                </c:pt>
                <c:pt idx="8">
                  <c:v>0.6761541131551545</c:v>
                </c:pt>
                <c:pt idx="9">
                  <c:v>0.6900697574468555</c:v>
                </c:pt>
                <c:pt idx="10">
                  <c:v>0.70436730123180291</c:v>
                </c:pt>
                <c:pt idx="11">
                  <c:v>0.71906263159691819</c:v>
                </c:pt>
                <c:pt idx="12">
                  <c:v>0.73417252869307681</c:v>
                </c:pt>
                <c:pt idx="13">
                  <c:v>0.74971472937522787</c:v>
                </c:pt>
                <c:pt idx="14">
                  <c:v>0.76570799636311426</c:v>
                </c:pt>
                <c:pt idx="15">
                  <c:v>0.78217219348950418</c:v>
                </c:pt>
                <c:pt idx="16">
                  <c:v>0.7991283676703651</c:v>
                </c:pt>
                <c:pt idx="17">
                  <c:v>0.81659883830811342</c:v>
                </c:pt>
                <c:pt idx="18">
                  <c:v>0.83460729492638419</c:v>
                </c:pt>
                <c:pt idx="19">
                  <c:v>0.85317890393429396</c:v>
                </c:pt>
                <c:pt idx="20">
                  <c:v>0.87234042553191515</c:v>
                </c:pt>
                <c:pt idx="21">
                  <c:v>0.89212034189886646</c:v>
                </c:pt>
                <c:pt idx="22">
                  <c:v>0.91254899795726885</c:v>
                </c:pt>
                <c:pt idx="23">
                  <c:v>0.93365875617201455</c:v>
                </c:pt>
                <c:pt idx="24">
                  <c:v>0.95548416704910533</c:v>
                </c:pt>
                <c:pt idx="25">
                  <c:v>0.97806215722120715</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numCache>
            </c:numRef>
          </c:yVal>
          <c:smooth val="1"/>
          <c:extLst>
            <c:ext xmlns:c16="http://schemas.microsoft.com/office/drawing/2014/chart" uri="{C3380CC4-5D6E-409C-BE32-E72D297353CC}">
              <c16:uniqueId val="{00000006-D95A-4548-B278-9C08062A4C91}"/>
            </c:ext>
          </c:extLst>
        </c:ser>
        <c:dLbls>
          <c:showLegendKey val="0"/>
          <c:showVal val="0"/>
          <c:showCatName val="0"/>
          <c:showSerName val="0"/>
          <c:showPercent val="0"/>
          <c:showBubbleSize val="0"/>
        </c:dLbls>
        <c:axId val="125192991"/>
        <c:axId val="239743711"/>
      </c:scatterChart>
      <c:valAx>
        <c:axId val="54024832"/>
        <c:scaling>
          <c:orientation val="minMax"/>
          <c:min val="0"/>
        </c:scaling>
        <c:delete val="0"/>
        <c:axPos val="b"/>
        <c:title>
          <c:tx>
            <c:rich>
              <a:bodyPr/>
              <a:lstStyle/>
              <a:p>
                <a:pPr>
                  <a:defRPr sz="1400"/>
                </a:pPr>
                <a:r>
                  <a:rPr lang="en-US" sz="1400"/>
                  <a:t>Irrigation Depth, I (mm)</a:t>
                </a:r>
                <a:endParaRPr lang="en-US" sz="1400" i="1"/>
              </a:p>
            </c:rich>
          </c:tx>
          <c:layout>
            <c:manualLayout>
              <c:xMode val="edge"/>
              <c:yMode val="edge"/>
              <c:x val="0.3778669936420922"/>
              <c:y val="0.92363884977953925"/>
            </c:manualLayout>
          </c:layout>
          <c:overlay val="0"/>
        </c:title>
        <c:numFmt formatCode="0" sourceLinked="1"/>
        <c:majorTickMark val="out"/>
        <c:minorTickMark val="out"/>
        <c:tickLblPos val="nextTo"/>
        <c:txPr>
          <a:bodyPr anchor="t" anchorCtr="0"/>
          <a:lstStyle/>
          <a:p>
            <a:pPr>
              <a:defRPr sz="1100" b="1"/>
            </a:pPr>
            <a:endParaRPr lang="en-US"/>
          </a:p>
        </c:txPr>
        <c:crossAx val="54043776"/>
        <c:crossesAt val="-200"/>
        <c:crossBetween val="midCat"/>
        <c:majorUnit val="100"/>
        <c:minorUnit val="5.000000000000001E-2"/>
      </c:valAx>
      <c:valAx>
        <c:axId val="54043776"/>
        <c:scaling>
          <c:orientation val="minMax"/>
          <c:min val="0"/>
        </c:scaling>
        <c:delete val="0"/>
        <c:axPos val="l"/>
        <c:majorGridlines/>
        <c:title>
          <c:tx>
            <c:rich>
              <a:bodyPr rot="-5400000" vert="horz"/>
              <a:lstStyle/>
              <a:p>
                <a:pPr>
                  <a:defRPr sz="1400"/>
                </a:pPr>
                <a:r>
                  <a:rPr lang="en-US" sz="1400"/>
                  <a:t>Net Income ($/ha)</a:t>
                </a:r>
              </a:p>
            </c:rich>
          </c:tx>
          <c:overlay val="0"/>
        </c:title>
        <c:numFmt formatCode="&quot;$&quot;#,##0" sourceLinked="1"/>
        <c:majorTickMark val="out"/>
        <c:minorTickMark val="none"/>
        <c:tickLblPos val="nextTo"/>
        <c:txPr>
          <a:bodyPr/>
          <a:lstStyle/>
          <a:p>
            <a:pPr>
              <a:defRPr sz="1050" b="1"/>
            </a:pPr>
            <a:endParaRPr lang="en-US"/>
          </a:p>
        </c:txPr>
        <c:crossAx val="54024832"/>
        <c:crossesAt val="-200"/>
        <c:crossBetween val="midCat"/>
      </c:valAx>
      <c:valAx>
        <c:axId val="239743711"/>
        <c:scaling>
          <c:orientation val="minMax"/>
          <c:max val="1"/>
        </c:scaling>
        <c:delete val="0"/>
        <c:axPos val="r"/>
        <c:title>
          <c:tx>
            <c:rich>
              <a:bodyPr/>
              <a:lstStyle/>
              <a:p>
                <a:pPr>
                  <a:defRPr sz="1200"/>
                </a:pPr>
                <a:r>
                  <a:rPr lang="en-US" sz="1200"/>
                  <a:t>Relative Area</a:t>
                </a:r>
                <a:r>
                  <a:rPr lang="en-US" sz="1200" baseline="0"/>
                  <a:t> Irrigated, Ai</a:t>
                </a:r>
                <a:endParaRPr lang="en-US" sz="1200"/>
              </a:p>
            </c:rich>
          </c:tx>
          <c:overlay val="0"/>
        </c:title>
        <c:numFmt formatCode="0.0" sourceLinked="0"/>
        <c:majorTickMark val="out"/>
        <c:minorTickMark val="none"/>
        <c:tickLblPos val="nextTo"/>
        <c:txPr>
          <a:bodyPr/>
          <a:lstStyle/>
          <a:p>
            <a:pPr>
              <a:defRPr b="1"/>
            </a:pPr>
            <a:endParaRPr lang="en-US"/>
          </a:p>
        </c:txPr>
        <c:crossAx val="125192991"/>
        <c:crosses val="max"/>
        <c:crossBetween val="midCat"/>
      </c:valAx>
      <c:valAx>
        <c:axId val="125192991"/>
        <c:scaling>
          <c:orientation val="minMax"/>
        </c:scaling>
        <c:delete val="1"/>
        <c:axPos val="b"/>
        <c:numFmt formatCode="0" sourceLinked="1"/>
        <c:majorTickMark val="out"/>
        <c:minorTickMark val="none"/>
        <c:tickLblPos val="nextTo"/>
        <c:crossAx val="239743711"/>
        <c:crosses val="autoZero"/>
        <c:crossBetween val="midCat"/>
      </c:valAx>
      <c:spPr>
        <a:ln>
          <a:solidFill>
            <a:schemeClr val="tx1"/>
          </a:solidFill>
        </a:ln>
      </c:spPr>
    </c:plotArea>
    <c:legend>
      <c:legendPos val="r"/>
      <c:layout>
        <c:manualLayout>
          <c:xMode val="edge"/>
          <c:yMode val="edge"/>
          <c:x val="0.17283359450623195"/>
          <c:y val="9.8454050859536596E-2"/>
          <c:w val="0.29725365933354447"/>
          <c:h val="0.32253243179039703"/>
        </c:manualLayout>
      </c:layout>
      <c:overlay val="0"/>
      <c:spPr>
        <a:solidFill>
          <a:schemeClr val="bg1"/>
        </a:solidFill>
        <a:ln>
          <a:solidFill>
            <a:schemeClr val="tx1"/>
          </a:solidFill>
        </a:ln>
      </c:spPr>
      <c:txPr>
        <a:bodyPr/>
        <a:lstStyle/>
        <a:p>
          <a:pPr>
            <a:defRPr sz="1050" b="1"/>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a:t>
            </a:r>
          </a:p>
        </c:rich>
      </c:tx>
      <c:layout>
        <c:manualLayout>
          <c:xMode val="edge"/>
          <c:yMode val="edge"/>
          <c:x val="0.83714177032218795"/>
          <c:y val="0.125"/>
        </c:manualLayout>
      </c:layout>
      <c:overlay val="1"/>
    </c:title>
    <c:autoTitleDeleted val="0"/>
    <c:plotArea>
      <c:layout>
        <c:manualLayout>
          <c:layoutTarget val="inner"/>
          <c:xMode val="edge"/>
          <c:yMode val="edge"/>
          <c:x val="0.1337527736569161"/>
          <c:y val="9.2951662292213466E-2"/>
          <c:w val="0.81218456388603588"/>
          <c:h val="0.72625364537766113"/>
        </c:manualLayout>
      </c:layout>
      <c:scatterChart>
        <c:scatterStyle val="smoothMarker"/>
        <c:varyColors val="0"/>
        <c:ser>
          <c:idx val="0"/>
          <c:order val="0"/>
          <c:tx>
            <c:strRef>
              <c:f>'WPF Model'!$B$8</c:f>
              <c:strCache>
                <c:ptCount val="1"/>
                <c:pt idx="0">
                  <c:v>0</c:v>
                </c:pt>
              </c:strCache>
            </c:strRef>
          </c:tx>
          <c:marker>
            <c:symbol val="none"/>
          </c:marker>
          <c:xVal>
            <c:numRef>
              <c:f>'WPF Model'!$A$13:$A$22</c:f>
              <c:numCache>
                <c:formatCode>General</c:formatCode>
                <c:ptCount val="10"/>
                <c:pt idx="0">
                  <c:v>0.1</c:v>
                </c:pt>
                <c:pt idx="1">
                  <c:v>0.2</c:v>
                </c:pt>
                <c:pt idx="2">
                  <c:v>0.3</c:v>
                </c:pt>
                <c:pt idx="3">
                  <c:v>0.4</c:v>
                </c:pt>
                <c:pt idx="4">
                  <c:v>0.5</c:v>
                </c:pt>
                <c:pt idx="5">
                  <c:v>0.6</c:v>
                </c:pt>
                <c:pt idx="6">
                  <c:v>0.7</c:v>
                </c:pt>
                <c:pt idx="7">
                  <c:v>0.8</c:v>
                </c:pt>
                <c:pt idx="8">
                  <c:v>0.9</c:v>
                </c:pt>
                <c:pt idx="9">
                  <c:v>1</c:v>
                </c:pt>
              </c:numCache>
            </c:numRef>
          </c:xVal>
          <c:yVal>
            <c:numRef>
              <c:f>'WPF Model'!$D$13:$D$22</c:f>
              <c:numCache>
                <c:formatCode>0.00</c:formatCode>
                <c:ptCount val="10"/>
                <c:pt idx="0">
                  <c:v>1.5384615384615383</c:v>
                </c:pt>
                <c:pt idx="1">
                  <c:v>1.5384615384615383</c:v>
                </c:pt>
                <c:pt idx="2">
                  <c:v>1.5384615384615383</c:v>
                </c:pt>
                <c:pt idx="3">
                  <c:v>1.5384615384615383</c:v>
                </c:pt>
                <c:pt idx="4">
                  <c:v>1.5384615384615383</c:v>
                </c:pt>
                <c:pt idx="5">
                  <c:v>1.5384615384615383</c:v>
                </c:pt>
                <c:pt idx="6">
                  <c:v>1.5384615384615383</c:v>
                </c:pt>
                <c:pt idx="7">
                  <c:v>1.5384615384615383</c:v>
                </c:pt>
                <c:pt idx="8">
                  <c:v>1.5384615384615383</c:v>
                </c:pt>
                <c:pt idx="9">
                  <c:v>1.5384615384615383</c:v>
                </c:pt>
              </c:numCache>
            </c:numRef>
          </c:yVal>
          <c:smooth val="1"/>
          <c:extLst>
            <c:ext xmlns:c16="http://schemas.microsoft.com/office/drawing/2014/chart" uri="{C3380CC4-5D6E-409C-BE32-E72D297353CC}">
              <c16:uniqueId val="{00000000-FEC7-4AA5-BA38-CE82CB54F8CC}"/>
            </c:ext>
          </c:extLst>
        </c:ser>
        <c:dLbls>
          <c:showLegendKey val="0"/>
          <c:showVal val="0"/>
          <c:showCatName val="0"/>
          <c:showSerName val="0"/>
          <c:showPercent val="0"/>
          <c:showBubbleSize val="0"/>
        </c:dLbls>
        <c:axId val="60524800"/>
        <c:axId val="60526976"/>
      </c:scatterChart>
      <c:valAx>
        <c:axId val="60524800"/>
        <c:scaling>
          <c:orientation val="minMax"/>
          <c:max val="1"/>
        </c:scaling>
        <c:delete val="0"/>
        <c:axPos val="b"/>
        <c:title>
          <c:tx>
            <c:rich>
              <a:bodyPr/>
              <a:lstStyle/>
              <a:p>
                <a:pPr>
                  <a:defRPr sz="1100"/>
                </a:pPr>
                <a:r>
                  <a:rPr lang="en-US" sz="1100"/>
                  <a:t>Relative ET, </a:t>
                </a:r>
                <a:r>
                  <a:rPr lang="en-US" sz="1100" i="1"/>
                  <a:t>x</a:t>
                </a:r>
              </a:p>
            </c:rich>
          </c:tx>
          <c:overlay val="0"/>
        </c:title>
        <c:numFmt formatCode="General" sourceLinked="1"/>
        <c:majorTickMark val="cross"/>
        <c:minorTickMark val="cross"/>
        <c:tickLblPos val="nextTo"/>
        <c:txPr>
          <a:bodyPr/>
          <a:lstStyle/>
          <a:p>
            <a:pPr>
              <a:defRPr sz="1050"/>
            </a:pPr>
            <a:endParaRPr lang="en-US"/>
          </a:p>
        </c:txPr>
        <c:crossAx val="60526976"/>
        <c:crosses val="autoZero"/>
        <c:crossBetween val="midCat"/>
        <c:minorUnit val="0.1"/>
      </c:valAx>
      <c:valAx>
        <c:axId val="60526976"/>
        <c:scaling>
          <c:orientation val="minMax"/>
          <c:min val="0"/>
        </c:scaling>
        <c:delete val="0"/>
        <c:axPos val="l"/>
        <c:majorGridlines>
          <c:spPr>
            <a:ln>
              <a:noFill/>
            </a:ln>
          </c:spPr>
        </c:majorGridlines>
        <c:title>
          <c:tx>
            <c:rich>
              <a:bodyPr rot="-5400000" vert="horz"/>
              <a:lstStyle/>
              <a:p>
                <a:pPr>
                  <a:defRPr sz="1100"/>
                </a:pPr>
                <a:r>
                  <a:rPr lang="en-US" sz="1100"/>
                  <a:t>Marginal Relative Yield, M</a:t>
                </a:r>
                <a:r>
                  <a:rPr lang="en-US" sz="1100" i="1"/>
                  <a:t>Y</a:t>
                </a:r>
              </a:p>
            </c:rich>
          </c:tx>
          <c:overlay val="0"/>
        </c:title>
        <c:numFmt formatCode="0.0" sourceLinked="0"/>
        <c:majorTickMark val="cross"/>
        <c:minorTickMark val="cross"/>
        <c:tickLblPos val="nextTo"/>
        <c:txPr>
          <a:bodyPr/>
          <a:lstStyle/>
          <a:p>
            <a:pPr>
              <a:defRPr sz="1050"/>
            </a:pPr>
            <a:endParaRPr lang="en-US"/>
          </a:p>
        </c:txPr>
        <c:crossAx val="60524800"/>
        <c:crosses val="autoZero"/>
        <c:crossBetween val="midCat"/>
        <c:majorUnit val="1"/>
        <c:minorUnit val="0.5"/>
      </c:valAx>
      <c:spPr>
        <a:ln>
          <a:solidFill>
            <a:schemeClr val="tx1"/>
          </a:solidFill>
        </a:ln>
      </c:spPr>
    </c:plotArea>
    <c:legend>
      <c:legendPos val="r"/>
      <c:layout>
        <c:manualLayout>
          <c:xMode val="edge"/>
          <c:yMode val="edge"/>
          <c:x val="0.74837359098228662"/>
          <c:y val="0.35628937007874018"/>
          <c:w val="0.17302750199703298"/>
          <c:h val="8.3717191601049873E-2"/>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(b)</a:t>
            </a:r>
          </a:p>
        </c:rich>
      </c:tx>
      <c:layout>
        <c:manualLayout>
          <c:xMode val="edge"/>
          <c:yMode val="edge"/>
          <c:x val="0.17060392813217187"/>
          <c:y val="9.2592592592592587E-2"/>
        </c:manualLayout>
      </c:layout>
      <c:overlay val="1"/>
    </c:title>
    <c:autoTitleDeleted val="0"/>
    <c:plotArea>
      <c:layout>
        <c:manualLayout>
          <c:layoutTarget val="inner"/>
          <c:xMode val="edge"/>
          <c:yMode val="edge"/>
          <c:x val="0.1337527736569161"/>
          <c:y val="9.2951662292213466E-2"/>
          <c:w val="0.81218456388603588"/>
          <c:h val="0.72625364537766113"/>
        </c:manualLayout>
      </c:layout>
      <c:scatterChart>
        <c:scatterStyle val="smoothMarker"/>
        <c:varyColors val="0"/>
        <c:ser>
          <c:idx val="0"/>
          <c:order val="0"/>
          <c:tx>
            <c:strRef>
              <c:f>'WPF Model'!$B$8</c:f>
              <c:strCache>
                <c:ptCount val="1"/>
                <c:pt idx="0">
                  <c:v>0</c:v>
                </c:pt>
              </c:strCache>
            </c:strRef>
          </c:tx>
          <c:marker>
            <c:symbol val="none"/>
          </c:marker>
          <c:xVal>
            <c:numRef>
              <c:f>'WPF Model'!$A$13:$A$22</c:f>
              <c:numCache>
                <c:formatCode>General</c:formatCode>
                <c:ptCount val="10"/>
                <c:pt idx="0">
                  <c:v>0.1</c:v>
                </c:pt>
                <c:pt idx="1">
                  <c:v>0.2</c:v>
                </c:pt>
                <c:pt idx="2">
                  <c:v>0.3</c:v>
                </c:pt>
                <c:pt idx="3">
                  <c:v>0.4</c:v>
                </c:pt>
                <c:pt idx="4">
                  <c:v>0.5</c:v>
                </c:pt>
                <c:pt idx="5">
                  <c:v>0.6</c:v>
                </c:pt>
                <c:pt idx="6">
                  <c:v>0.7</c:v>
                </c:pt>
                <c:pt idx="7">
                  <c:v>0.8</c:v>
                </c:pt>
                <c:pt idx="8">
                  <c:v>0.9</c:v>
                </c:pt>
                <c:pt idx="9">
                  <c:v>1</c:v>
                </c:pt>
              </c:numCache>
            </c:numRef>
          </c:xVal>
          <c:yVal>
            <c:numRef>
              <c:f>'WPF Model'!$C$13:$C$22</c:f>
              <c:numCache>
                <c:formatCode>0.00</c:formatCode>
                <c:ptCount val="10"/>
                <c:pt idx="0">
                  <c:v>-3.8461538461538458</c:v>
                </c:pt>
                <c:pt idx="1">
                  <c:v>-1.1538461538461535</c:v>
                </c:pt>
                <c:pt idx="2">
                  <c:v>-0.25641025641025661</c:v>
                </c:pt>
                <c:pt idx="3">
                  <c:v>0.19230769230769246</c:v>
                </c:pt>
                <c:pt idx="4">
                  <c:v>0.46153846153846145</c:v>
                </c:pt>
                <c:pt idx="5">
                  <c:v>0.64102564102564086</c:v>
                </c:pt>
                <c:pt idx="6">
                  <c:v>0.76923076923076894</c:v>
                </c:pt>
                <c:pt idx="7">
                  <c:v>0.86538461538461542</c:v>
                </c:pt>
                <c:pt idx="8">
                  <c:v>0.94017094017094016</c:v>
                </c:pt>
                <c:pt idx="9">
                  <c:v>0.99999999999999989</c:v>
                </c:pt>
              </c:numCache>
            </c:numRef>
          </c:yVal>
          <c:smooth val="1"/>
          <c:extLst>
            <c:ext xmlns:c16="http://schemas.microsoft.com/office/drawing/2014/chart" uri="{C3380CC4-5D6E-409C-BE32-E72D297353CC}">
              <c16:uniqueId val="{00000000-04DC-4DE3-874E-32A3D034EEAC}"/>
            </c:ext>
          </c:extLst>
        </c:ser>
        <c:ser>
          <c:idx val="1"/>
          <c:order val="1"/>
          <c:tx>
            <c:v>WP=1</c:v>
          </c:tx>
          <c:spPr>
            <a:ln>
              <a:noFill/>
            </a:ln>
          </c:spPr>
          <c:marker>
            <c:symbol val="diamond"/>
            <c:size val="8"/>
            <c:spPr>
              <a:solidFill>
                <a:schemeClr val="tx1"/>
              </a:solidFill>
              <a:ln>
                <a:solidFill>
                  <a:schemeClr val="tx1"/>
                </a:solidFill>
              </a:ln>
            </c:spPr>
          </c:marker>
          <c:xVal>
            <c:numRef>
              <c:f>'WPF Model'!$B$30</c:f>
              <c:numCache>
                <c:formatCode>0.00</c:formatCode>
                <c:ptCount val="1"/>
                <c:pt idx="0">
                  <c:v>0</c:v>
                </c:pt>
              </c:numCache>
            </c:numRef>
          </c:xVal>
          <c:yVal>
            <c:numRef>
              <c:f>'WPF Model'!$E$30</c:f>
              <c:numCache>
                <c:formatCode>0.00</c:formatCode>
                <c:ptCount val="1"/>
                <c:pt idx="0">
                  <c:v>0</c:v>
                </c:pt>
              </c:numCache>
            </c:numRef>
          </c:yVal>
          <c:smooth val="1"/>
          <c:extLst>
            <c:ext xmlns:c16="http://schemas.microsoft.com/office/drawing/2014/chart" uri="{C3380CC4-5D6E-409C-BE32-E72D297353CC}">
              <c16:uniqueId val="{00000001-04DC-4DE3-874E-32A3D034EEAC}"/>
            </c:ext>
          </c:extLst>
        </c:ser>
        <c:ser>
          <c:idx val="2"/>
          <c:order val="2"/>
          <c:tx>
            <c:v>WPmax</c:v>
          </c:tx>
          <c:spPr>
            <a:ln>
              <a:noFill/>
            </a:ln>
          </c:spPr>
          <c:marker>
            <c:symbol val="circle"/>
            <c:size val="7"/>
            <c:spPr>
              <a:solidFill>
                <a:srgbClr val="FFC000"/>
              </a:solidFill>
              <a:ln>
                <a:solidFill>
                  <a:schemeClr val="tx1"/>
                </a:solidFill>
              </a:ln>
            </c:spPr>
          </c:marker>
          <c:xVal>
            <c:numRef>
              <c:f>'WPF Model'!$B$31</c:f>
              <c:numCache>
                <c:formatCode>0.00</c:formatCode>
                <c:ptCount val="1"/>
                <c:pt idx="0">
                  <c:v>0</c:v>
                </c:pt>
              </c:numCache>
            </c:numRef>
          </c:xVal>
          <c:yVal>
            <c:numRef>
              <c:f>'WPF Model'!$E$31</c:f>
              <c:numCache>
                <c:formatCode>0.00</c:formatCode>
                <c:ptCount val="1"/>
                <c:pt idx="0">
                  <c:v>0</c:v>
                </c:pt>
              </c:numCache>
            </c:numRef>
          </c:yVal>
          <c:smooth val="1"/>
          <c:extLst>
            <c:ext xmlns:c16="http://schemas.microsoft.com/office/drawing/2014/chart" uri="{C3380CC4-5D6E-409C-BE32-E72D297353CC}">
              <c16:uniqueId val="{00000002-04DC-4DE3-874E-32A3D034EEAC}"/>
            </c:ext>
          </c:extLst>
        </c:ser>
        <c:dLbls>
          <c:showLegendKey val="0"/>
          <c:showVal val="0"/>
          <c:showCatName val="0"/>
          <c:showSerName val="0"/>
          <c:showPercent val="0"/>
          <c:showBubbleSize val="0"/>
        </c:dLbls>
        <c:axId val="60561280"/>
        <c:axId val="60563840"/>
      </c:scatterChart>
      <c:valAx>
        <c:axId val="60561280"/>
        <c:scaling>
          <c:orientation val="minMax"/>
          <c:max val="1"/>
        </c:scaling>
        <c:delete val="0"/>
        <c:axPos val="b"/>
        <c:title>
          <c:tx>
            <c:rich>
              <a:bodyPr/>
              <a:lstStyle/>
              <a:p>
                <a:pPr>
                  <a:defRPr sz="1100"/>
                </a:pPr>
                <a:r>
                  <a:rPr lang="en-US" sz="1100"/>
                  <a:t>Relative ET, </a:t>
                </a:r>
                <a:r>
                  <a:rPr lang="en-US" sz="1100" i="1"/>
                  <a:t>x</a:t>
                </a:r>
              </a:p>
            </c:rich>
          </c:tx>
          <c:overlay val="0"/>
        </c:title>
        <c:numFmt formatCode="General" sourceLinked="1"/>
        <c:majorTickMark val="cross"/>
        <c:minorTickMark val="cross"/>
        <c:tickLblPos val="nextTo"/>
        <c:txPr>
          <a:bodyPr/>
          <a:lstStyle/>
          <a:p>
            <a:pPr>
              <a:defRPr sz="1050"/>
            </a:pPr>
            <a:endParaRPr lang="en-US"/>
          </a:p>
        </c:txPr>
        <c:crossAx val="60563840"/>
        <c:crosses val="autoZero"/>
        <c:crossBetween val="midCat"/>
        <c:minorUnit val="0.1"/>
      </c:valAx>
      <c:valAx>
        <c:axId val="60563840"/>
        <c:scaling>
          <c:orientation val="minMax"/>
          <c:min val="0"/>
        </c:scaling>
        <c:delete val="0"/>
        <c:axPos val="l"/>
        <c:majorGridlines/>
        <c:title>
          <c:tx>
            <c:rich>
              <a:bodyPr rot="-5400000" vert="horz"/>
              <a:lstStyle/>
              <a:p>
                <a:pPr>
                  <a:defRPr sz="1100"/>
                </a:pPr>
                <a:r>
                  <a:rPr lang="en-US" sz="1100"/>
                  <a:t>Normalized Water Productivity, WP</a:t>
                </a:r>
              </a:p>
            </c:rich>
          </c:tx>
          <c:overlay val="0"/>
        </c:title>
        <c:numFmt formatCode="0.0" sourceLinked="0"/>
        <c:majorTickMark val="out"/>
        <c:minorTickMark val="none"/>
        <c:tickLblPos val="nextTo"/>
        <c:txPr>
          <a:bodyPr/>
          <a:lstStyle/>
          <a:p>
            <a:pPr>
              <a:defRPr sz="1050"/>
            </a:pPr>
            <a:endParaRPr lang="en-US"/>
          </a:p>
        </c:txPr>
        <c:crossAx val="60561280"/>
        <c:crosses val="autoZero"/>
        <c:crossBetween val="midCat"/>
        <c:majorUnit val="0.2"/>
        <c:minorUnit val="0.1"/>
      </c:valAx>
      <c:spPr>
        <a:ln>
          <a:solidFill>
            <a:schemeClr val="tx1"/>
          </a:solidFill>
        </a:ln>
      </c:spPr>
    </c:plotArea>
    <c:legend>
      <c:legendPos val="r"/>
      <c:layout>
        <c:manualLayout>
          <c:xMode val="edge"/>
          <c:yMode val="edge"/>
          <c:x val="0.71616747181964568"/>
          <c:y val="0.47665974044911052"/>
          <c:w val="0.19700508450936385"/>
          <c:h val="0.21411453776611256"/>
        </c:manualLayout>
      </c:layout>
      <c:overlay val="0"/>
      <c:spPr>
        <a:solidFill>
          <a:schemeClr val="bg1"/>
        </a:solidFill>
        <a:ln>
          <a:solidFill>
            <a:schemeClr val="tx1"/>
          </a:solidFill>
        </a:ln>
      </c:spPr>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527736569161"/>
          <c:y val="9.2951662292213466E-2"/>
          <c:w val="0.81218456388603588"/>
          <c:h val="0.72625364537766113"/>
        </c:manualLayout>
      </c:layout>
      <c:scatterChart>
        <c:scatterStyle val="smoothMarker"/>
        <c:varyColors val="0"/>
        <c:ser>
          <c:idx val="2"/>
          <c:order val="0"/>
          <c:tx>
            <c:strRef>
              <c:f>'WPF Model'!$S$23</c:f>
              <c:strCache>
                <c:ptCount val="1"/>
                <c:pt idx="0">
                  <c:v>C = -2</c:v>
                </c:pt>
              </c:strCache>
            </c:strRef>
          </c:tx>
          <c:spPr>
            <a:ln>
              <a:solidFill>
                <a:schemeClr val="accent2"/>
              </a:solidFill>
            </a:ln>
          </c:spPr>
          <c:marker>
            <c:symbol val="none"/>
          </c:marker>
          <c:xVal>
            <c:numRef>
              <c:f>'WPF Model'!$R$25:$R$34</c:f>
              <c:numCache>
                <c:formatCode>General</c:formatCode>
                <c:ptCount val="10"/>
                <c:pt idx="0">
                  <c:v>0.1</c:v>
                </c:pt>
                <c:pt idx="1">
                  <c:v>0.2</c:v>
                </c:pt>
                <c:pt idx="2">
                  <c:v>0.3</c:v>
                </c:pt>
                <c:pt idx="3">
                  <c:v>0.4</c:v>
                </c:pt>
                <c:pt idx="4">
                  <c:v>0.5</c:v>
                </c:pt>
                <c:pt idx="5">
                  <c:v>0.6</c:v>
                </c:pt>
                <c:pt idx="6">
                  <c:v>0.7</c:v>
                </c:pt>
                <c:pt idx="7">
                  <c:v>0.8</c:v>
                </c:pt>
                <c:pt idx="8">
                  <c:v>0.9</c:v>
                </c:pt>
                <c:pt idx="9">
                  <c:v>1</c:v>
                </c:pt>
              </c:numCache>
            </c:numRef>
          </c:xVal>
          <c:yVal>
            <c:numRef>
              <c:f>'WPF Model'!$S$25:$S$34</c:f>
              <c:numCache>
                <c:formatCode>0.00</c:formatCode>
                <c:ptCount val="10"/>
                <c:pt idx="0">
                  <c:v>-0.83461538461538443</c:v>
                </c:pt>
                <c:pt idx="1">
                  <c:v>-0.47076923076923055</c:v>
                </c:pt>
                <c:pt idx="2">
                  <c:v>-0.14692307692307677</c:v>
                </c:pt>
                <c:pt idx="3">
                  <c:v>0.13692307692307715</c:v>
                </c:pt>
                <c:pt idx="4">
                  <c:v>0.38076923076923097</c:v>
                </c:pt>
                <c:pt idx="5">
                  <c:v>0.58461538461538476</c:v>
                </c:pt>
                <c:pt idx="6">
                  <c:v>0.74846153846153862</c:v>
                </c:pt>
                <c:pt idx="7">
                  <c:v>0.87230769230769223</c:v>
                </c:pt>
                <c:pt idx="8">
                  <c:v>0.95615384615384613</c:v>
                </c:pt>
                <c:pt idx="9">
                  <c:v>1</c:v>
                </c:pt>
              </c:numCache>
            </c:numRef>
          </c:yVal>
          <c:smooth val="1"/>
          <c:extLst>
            <c:ext xmlns:c16="http://schemas.microsoft.com/office/drawing/2014/chart" uri="{C3380CC4-5D6E-409C-BE32-E72D297353CC}">
              <c16:uniqueId val="{00000002-3A47-4B15-BF4E-FB6090ECA048}"/>
            </c:ext>
          </c:extLst>
        </c:ser>
        <c:ser>
          <c:idx val="1"/>
          <c:order val="1"/>
          <c:tx>
            <c:strRef>
              <c:f>'WPF Model'!$Q$23</c:f>
              <c:strCache>
                <c:ptCount val="1"/>
                <c:pt idx="0">
                  <c:v>C = -1</c:v>
                </c:pt>
              </c:strCache>
            </c:strRef>
          </c:tx>
          <c:spPr>
            <a:ln>
              <a:solidFill>
                <a:schemeClr val="accent1"/>
              </a:solidFill>
            </a:ln>
          </c:spPr>
          <c:marker>
            <c:symbol val="none"/>
          </c:marker>
          <c:xVal>
            <c:numRef>
              <c:f>'WPF Model'!$P$25:$P$34</c:f>
              <c:numCache>
                <c:formatCode>General</c:formatCode>
                <c:ptCount val="10"/>
                <c:pt idx="0">
                  <c:v>0.1</c:v>
                </c:pt>
                <c:pt idx="1">
                  <c:v>0.2</c:v>
                </c:pt>
                <c:pt idx="2">
                  <c:v>0.3</c:v>
                </c:pt>
                <c:pt idx="3">
                  <c:v>0.4</c:v>
                </c:pt>
                <c:pt idx="4">
                  <c:v>0.5</c:v>
                </c:pt>
                <c:pt idx="5">
                  <c:v>0.6</c:v>
                </c:pt>
                <c:pt idx="6">
                  <c:v>0.7</c:v>
                </c:pt>
                <c:pt idx="7">
                  <c:v>0.8</c:v>
                </c:pt>
                <c:pt idx="8">
                  <c:v>0.9</c:v>
                </c:pt>
                <c:pt idx="9">
                  <c:v>1</c:v>
                </c:pt>
              </c:numCache>
            </c:numRef>
          </c:xVal>
          <c:yVal>
            <c:numRef>
              <c:f>'WPF Model'!$Q$25:$Q$34</c:f>
              <c:numCache>
                <c:formatCode>0.00</c:formatCode>
                <c:ptCount val="10"/>
                <c:pt idx="0">
                  <c:v>-0.60961538461538445</c:v>
                </c:pt>
                <c:pt idx="1">
                  <c:v>-0.35076923076923061</c:v>
                </c:pt>
                <c:pt idx="2">
                  <c:v>-0.11192307692307682</c:v>
                </c:pt>
                <c:pt idx="3">
                  <c:v>0.10692307692307712</c:v>
                </c:pt>
                <c:pt idx="4">
                  <c:v>0.3057692307692309</c:v>
                </c:pt>
                <c:pt idx="5">
                  <c:v>0.48461538461538467</c:v>
                </c:pt>
                <c:pt idx="6">
                  <c:v>0.64346153846153853</c:v>
                </c:pt>
                <c:pt idx="7">
                  <c:v>0.78230769230769237</c:v>
                </c:pt>
                <c:pt idx="8">
                  <c:v>0.90115384615384597</c:v>
                </c:pt>
                <c:pt idx="9">
                  <c:v>1</c:v>
                </c:pt>
              </c:numCache>
            </c:numRef>
          </c:yVal>
          <c:smooth val="1"/>
          <c:extLst>
            <c:ext xmlns:c16="http://schemas.microsoft.com/office/drawing/2014/chart" uri="{C3380CC4-5D6E-409C-BE32-E72D297353CC}">
              <c16:uniqueId val="{00000001-3A47-4B15-BF4E-FB6090ECA048}"/>
            </c:ext>
          </c:extLst>
        </c:ser>
        <c:ser>
          <c:idx val="0"/>
          <c:order val="2"/>
          <c:tx>
            <c:strRef>
              <c:f>'WPF Model'!$O$23</c:f>
              <c:strCache>
                <c:ptCount val="1"/>
                <c:pt idx="0">
                  <c:v>C = 0</c:v>
                </c:pt>
              </c:strCache>
            </c:strRef>
          </c:tx>
          <c:spPr>
            <a:ln>
              <a:solidFill>
                <a:schemeClr val="tx1"/>
              </a:solidFill>
            </a:ln>
          </c:spPr>
          <c:marker>
            <c:symbol val="none"/>
          </c:marker>
          <c:xVal>
            <c:numRef>
              <c:f>'WPF Model'!$N$25:$N$34</c:f>
              <c:numCache>
                <c:formatCode>General</c:formatCode>
                <c:ptCount val="10"/>
                <c:pt idx="0">
                  <c:v>0.1</c:v>
                </c:pt>
                <c:pt idx="1">
                  <c:v>0.2</c:v>
                </c:pt>
                <c:pt idx="2">
                  <c:v>0.3</c:v>
                </c:pt>
                <c:pt idx="3">
                  <c:v>0.4</c:v>
                </c:pt>
                <c:pt idx="4">
                  <c:v>0.5</c:v>
                </c:pt>
                <c:pt idx="5">
                  <c:v>0.6</c:v>
                </c:pt>
                <c:pt idx="6">
                  <c:v>0.7</c:v>
                </c:pt>
                <c:pt idx="7">
                  <c:v>0.8</c:v>
                </c:pt>
                <c:pt idx="8">
                  <c:v>0.9</c:v>
                </c:pt>
                <c:pt idx="9">
                  <c:v>1</c:v>
                </c:pt>
              </c:numCache>
            </c:numRef>
          </c:xVal>
          <c:yVal>
            <c:numRef>
              <c:f>'WPF Model'!$O$25:$O$34</c:f>
              <c:numCache>
                <c:formatCode>0.00</c:formatCode>
                <c:ptCount val="10"/>
                <c:pt idx="0">
                  <c:v>-0.38461538461538458</c:v>
                </c:pt>
                <c:pt idx="1">
                  <c:v>-0.23076923076923073</c:v>
                </c:pt>
                <c:pt idx="2">
                  <c:v>-7.6923076923076983E-2</c:v>
                </c:pt>
                <c:pt idx="3">
                  <c:v>7.6923076923076983E-2</c:v>
                </c:pt>
                <c:pt idx="4">
                  <c:v>0.23076923076923073</c:v>
                </c:pt>
                <c:pt idx="5">
                  <c:v>0.38461538461538447</c:v>
                </c:pt>
                <c:pt idx="6">
                  <c:v>0.53846153846153821</c:v>
                </c:pt>
                <c:pt idx="7">
                  <c:v>0.6923076923076924</c:v>
                </c:pt>
                <c:pt idx="8">
                  <c:v>0.84615384615384615</c:v>
                </c:pt>
                <c:pt idx="9">
                  <c:v>0.99999999999999989</c:v>
                </c:pt>
              </c:numCache>
            </c:numRef>
          </c:yVal>
          <c:smooth val="1"/>
          <c:extLst>
            <c:ext xmlns:c16="http://schemas.microsoft.com/office/drawing/2014/chart" uri="{C3380CC4-5D6E-409C-BE32-E72D297353CC}">
              <c16:uniqueId val="{00000000-3A47-4B15-BF4E-FB6090ECA048}"/>
            </c:ext>
          </c:extLst>
        </c:ser>
        <c:dLbls>
          <c:showLegendKey val="0"/>
          <c:showVal val="0"/>
          <c:showCatName val="0"/>
          <c:showSerName val="0"/>
          <c:showPercent val="0"/>
          <c:showBubbleSize val="0"/>
        </c:dLbls>
        <c:axId val="60606720"/>
        <c:axId val="63046016"/>
      </c:scatterChart>
      <c:valAx>
        <c:axId val="60606720"/>
        <c:scaling>
          <c:orientation val="minMax"/>
          <c:max val="1"/>
        </c:scaling>
        <c:delete val="0"/>
        <c:axPos val="b"/>
        <c:title>
          <c:tx>
            <c:rich>
              <a:bodyPr/>
              <a:lstStyle/>
              <a:p>
                <a:pPr>
                  <a:defRPr sz="1100"/>
                </a:pPr>
                <a:r>
                  <a:rPr lang="en-US" sz="1100" i="0"/>
                  <a:t>Relative ET, ET/ETm</a:t>
                </a:r>
              </a:p>
            </c:rich>
          </c:tx>
          <c:overlay val="0"/>
        </c:title>
        <c:numFmt formatCode="General" sourceLinked="1"/>
        <c:majorTickMark val="out"/>
        <c:minorTickMark val="cross"/>
        <c:tickLblPos val="nextTo"/>
        <c:txPr>
          <a:bodyPr/>
          <a:lstStyle/>
          <a:p>
            <a:pPr>
              <a:defRPr sz="1050"/>
            </a:pPr>
            <a:endParaRPr lang="en-US"/>
          </a:p>
        </c:txPr>
        <c:crossAx val="63046016"/>
        <c:crosses val="autoZero"/>
        <c:crossBetween val="midCat"/>
        <c:minorUnit val="0.1"/>
      </c:valAx>
      <c:valAx>
        <c:axId val="63046016"/>
        <c:scaling>
          <c:orientation val="minMax"/>
          <c:max val="1"/>
          <c:min val="0"/>
        </c:scaling>
        <c:delete val="0"/>
        <c:axPos val="l"/>
        <c:majorGridlines>
          <c:spPr>
            <a:ln>
              <a:noFill/>
            </a:ln>
          </c:spPr>
        </c:majorGridlines>
        <c:title>
          <c:tx>
            <c:rich>
              <a:bodyPr rot="-5400000" vert="horz"/>
              <a:lstStyle/>
              <a:p>
                <a:pPr>
                  <a:defRPr sz="1100"/>
                </a:pPr>
                <a:r>
                  <a:rPr lang="en-US" sz="1100" i="0"/>
                  <a:t>Relative Yield,</a:t>
                </a:r>
                <a:r>
                  <a:rPr lang="en-US" sz="1100" i="0" baseline="0"/>
                  <a:t> Y/Ym</a:t>
                </a:r>
                <a:endParaRPr lang="en-US" sz="1100" i="0" baseline="-25000"/>
              </a:p>
            </c:rich>
          </c:tx>
          <c:overlay val="0"/>
        </c:title>
        <c:numFmt formatCode="0.0" sourceLinked="0"/>
        <c:majorTickMark val="out"/>
        <c:minorTickMark val="cross"/>
        <c:tickLblPos val="nextTo"/>
        <c:txPr>
          <a:bodyPr/>
          <a:lstStyle/>
          <a:p>
            <a:pPr>
              <a:defRPr sz="1050"/>
            </a:pPr>
            <a:endParaRPr lang="en-US"/>
          </a:p>
        </c:txPr>
        <c:crossAx val="60606720"/>
        <c:crosses val="autoZero"/>
        <c:crossBetween val="midCat"/>
        <c:majorUnit val="0.2"/>
        <c:minorUnit val="0.1"/>
      </c:valAx>
      <c:spPr>
        <a:ln>
          <a:solidFill>
            <a:schemeClr val="tx1"/>
          </a:solidFill>
        </a:ln>
      </c:spPr>
    </c:plotArea>
    <c:legend>
      <c:legendPos val="r"/>
      <c:layout>
        <c:manualLayout>
          <c:xMode val="edge"/>
          <c:yMode val="edge"/>
          <c:x val="0.69684380032206117"/>
          <c:y val="0.58092749242258035"/>
          <c:w val="0.1872141706924316"/>
          <c:h val="0.18392108107229629"/>
        </c:manualLayout>
      </c:layout>
      <c:overlay val="0"/>
      <c:spPr>
        <a:solidFill>
          <a:schemeClr val="bg1"/>
        </a:solidFill>
        <a:ln>
          <a:solidFill>
            <a:schemeClr val="tx1"/>
          </a:solidFill>
        </a:ln>
      </c:spPr>
      <c:txPr>
        <a:bodyPr/>
        <a:lstStyle/>
        <a:p>
          <a:pPr>
            <a:defRPr b="1"/>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a:t>
            </a:r>
          </a:p>
        </c:rich>
      </c:tx>
      <c:layout>
        <c:manualLayout>
          <c:xMode val="edge"/>
          <c:yMode val="edge"/>
          <c:x val="0.16413835951665459"/>
          <c:y val="0.11688311688311688"/>
        </c:manualLayout>
      </c:layout>
      <c:overlay val="1"/>
    </c:title>
    <c:autoTitleDeleted val="0"/>
    <c:plotArea>
      <c:layout>
        <c:manualLayout>
          <c:layoutTarget val="inner"/>
          <c:xMode val="edge"/>
          <c:yMode val="edge"/>
          <c:x val="0.1337527736569161"/>
          <c:y val="9.2951662292213466E-2"/>
          <c:w val="0.81218456388603588"/>
          <c:h val="0.70688332427514577"/>
        </c:manualLayout>
      </c:layout>
      <c:scatterChart>
        <c:scatterStyle val="smoothMarker"/>
        <c:varyColors val="0"/>
        <c:ser>
          <c:idx val="0"/>
          <c:order val="0"/>
          <c:tx>
            <c:strRef>
              <c:f>IrrReq!$B$33</c:f>
              <c:strCache>
                <c:ptCount val="1"/>
                <c:pt idx="0">
                  <c:v>0.75</c:v>
                </c:pt>
              </c:strCache>
            </c:strRef>
          </c:tx>
          <c:marker>
            <c:symbol val="none"/>
          </c:marker>
          <c:xVal>
            <c:numRef>
              <c:f>IrrReq!$A$47:$A$67</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IrrReq!$I$47:$I$67</c:f>
              <c:numCache>
                <c:formatCode>0.00</c:formatCode>
                <c:ptCount val="21"/>
                <c:pt idx="0">
                  <c:v>0.75</c:v>
                </c:pt>
                <c:pt idx="1">
                  <c:v>0.78625</c:v>
                </c:pt>
                <c:pt idx="2">
                  <c:v>0.82000000000000006</c:v>
                </c:pt>
                <c:pt idx="3">
                  <c:v>0.85125000000000006</c:v>
                </c:pt>
                <c:pt idx="4">
                  <c:v>0.88000000000000012</c:v>
                </c:pt>
                <c:pt idx="5">
                  <c:v>0.90625000000000011</c:v>
                </c:pt>
                <c:pt idx="6">
                  <c:v>0.93000000000000016</c:v>
                </c:pt>
                <c:pt idx="7">
                  <c:v>0.95125000000000015</c:v>
                </c:pt>
                <c:pt idx="8">
                  <c:v>0.97000000000000008</c:v>
                </c:pt>
                <c:pt idx="9">
                  <c:v>0.98625000000000007</c:v>
                </c:pt>
                <c:pt idx="10">
                  <c:v>1</c:v>
                </c:pt>
                <c:pt idx="11">
                  <c:v>1</c:v>
                </c:pt>
                <c:pt idx="12">
                  <c:v>1</c:v>
                </c:pt>
                <c:pt idx="13">
                  <c:v>1</c:v>
                </c:pt>
                <c:pt idx="14">
                  <c:v>1</c:v>
                </c:pt>
                <c:pt idx="15">
                  <c:v>1</c:v>
                </c:pt>
                <c:pt idx="16">
                  <c:v>1</c:v>
                </c:pt>
                <c:pt idx="17">
                  <c:v>1</c:v>
                </c:pt>
                <c:pt idx="18">
                  <c:v>1</c:v>
                </c:pt>
                <c:pt idx="19">
                  <c:v>1</c:v>
                </c:pt>
                <c:pt idx="20">
                  <c:v>1</c:v>
                </c:pt>
              </c:numCache>
            </c:numRef>
          </c:yVal>
          <c:smooth val="1"/>
          <c:extLst>
            <c:ext xmlns:c16="http://schemas.microsoft.com/office/drawing/2014/chart" uri="{C3380CC4-5D6E-409C-BE32-E72D297353CC}">
              <c16:uniqueId val="{00000000-10D6-4B90-8AEC-2B960FC90B25}"/>
            </c:ext>
          </c:extLst>
        </c:ser>
        <c:dLbls>
          <c:showLegendKey val="0"/>
          <c:showVal val="0"/>
          <c:showCatName val="0"/>
          <c:showSerName val="0"/>
          <c:showPercent val="0"/>
          <c:showBubbleSize val="0"/>
        </c:dLbls>
        <c:axId val="63097472"/>
        <c:axId val="63107840"/>
      </c:scatterChart>
      <c:valAx>
        <c:axId val="63097472"/>
        <c:scaling>
          <c:orientation val="minMax"/>
          <c:max val="1"/>
          <c:min val="0"/>
        </c:scaling>
        <c:delete val="0"/>
        <c:axPos val="b"/>
        <c:title>
          <c:tx>
            <c:rich>
              <a:bodyPr/>
              <a:lstStyle/>
              <a:p>
                <a:pPr>
                  <a:defRPr sz="1100"/>
                </a:pPr>
                <a:r>
                  <a:rPr lang="en-US" sz="1100"/>
                  <a:t>Relative ET, </a:t>
                </a:r>
                <a:r>
                  <a:rPr lang="en-US" sz="1100" i="1"/>
                  <a:t>x</a:t>
                </a:r>
              </a:p>
            </c:rich>
          </c:tx>
          <c:overlay val="0"/>
        </c:title>
        <c:numFmt formatCode="0.00" sourceLinked="1"/>
        <c:majorTickMark val="out"/>
        <c:minorTickMark val="none"/>
        <c:tickLblPos val="nextTo"/>
        <c:txPr>
          <a:bodyPr/>
          <a:lstStyle/>
          <a:p>
            <a:pPr>
              <a:defRPr sz="1050"/>
            </a:pPr>
            <a:endParaRPr lang="en-US"/>
          </a:p>
        </c:txPr>
        <c:crossAx val="63107840"/>
        <c:crosses val="autoZero"/>
        <c:crossBetween val="midCat"/>
      </c:valAx>
      <c:valAx>
        <c:axId val="63107840"/>
        <c:scaling>
          <c:orientation val="minMax"/>
          <c:max val="1"/>
          <c:min val="0"/>
        </c:scaling>
        <c:delete val="0"/>
        <c:axPos val="l"/>
        <c:majorGridlines>
          <c:spPr>
            <a:ln>
              <a:noFill/>
            </a:ln>
          </c:spPr>
        </c:majorGridlines>
        <c:title>
          <c:tx>
            <c:rich>
              <a:bodyPr rot="-5400000" vert="horz"/>
              <a:lstStyle/>
              <a:p>
                <a:pPr>
                  <a:defRPr sz="1100"/>
                </a:pPr>
                <a:r>
                  <a:rPr lang="en-US" sz="1100"/>
                  <a:t>Irrigation Efficiency, </a:t>
                </a:r>
                <a:r>
                  <a:rPr lang="en-US" sz="1100" i="1"/>
                  <a:t>Ei</a:t>
                </a:r>
              </a:p>
            </c:rich>
          </c:tx>
          <c:overlay val="0"/>
        </c:title>
        <c:numFmt formatCode="0.0" sourceLinked="0"/>
        <c:majorTickMark val="cross"/>
        <c:minorTickMark val="cross"/>
        <c:tickLblPos val="nextTo"/>
        <c:txPr>
          <a:bodyPr/>
          <a:lstStyle/>
          <a:p>
            <a:pPr>
              <a:defRPr sz="1050"/>
            </a:pPr>
            <a:endParaRPr lang="en-US"/>
          </a:p>
        </c:txPr>
        <c:crossAx val="63097472"/>
        <c:crosses val="autoZero"/>
        <c:crossBetween val="midCat"/>
        <c:majorUnit val="0.2"/>
        <c:minorUnit val="0.1"/>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a:t>
            </a:r>
          </a:p>
        </c:rich>
      </c:tx>
      <c:layout>
        <c:manualLayout>
          <c:xMode val="edge"/>
          <c:yMode val="edge"/>
          <c:x val="0.17531388286609098"/>
          <c:y val="0.14285714285714285"/>
        </c:manualLayout>
      </c:layout>
      <c:overlay val="1"/>
    </c:title>
    <c:autoTitleDeleted val="0"/>
    <c:plotArea>
      <c:layout>
        <c:manualLayout>
          <c:layoutTarget val="inner"/>
          <c:xMode val="edge"/>
          <c:yMode val="edge"/>
          <c:x val="0.1337527736569161"/>
          <c:y val="9.2951662292213466E-2"/>
          <c:w val="0.81218456388603588"/>
          <c:h val="0.72625364537766113"/>
        </c:manualLayout>
      </c:layout>
      <c:scatterChart>
        <c:scatterStyle val="smoothMarker"/>
        <c:varyColors val="0"/>
        <c:ser>
          <c:idx val="0"/>
          <c:order val="0"/>
          <c:tx>
            <c:strRef>
              <c:f>IrrReq!$B$11</c:f>
              <c:strCache>
                <c:ptCount val="1"/>
                <c:pt idx="0">
                  <c:v>-1</c:v>
                </c:pt>
              </c:strCache>
            </c:strRef>
          </c:tx>
          <c:marker>
            <c:symbol val="none"/>
          </c:marker>
          <c:xVal>
            <c:numRef>
              <c:f>IrrReq!$A$47:$A$67</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IrrReq!$D$47:$D$67</c:f>
              <c:numCache>
                <c:formatCode>0.00</c:formatCode>
                <c:ptCount val="21"/>
                <c:pt idx="0">
                  <c:v>0.7</c:v>
                </c:pt>
                <c:pt idx="1">
                  <c:v>0.75249999999999995</c:v>
                </c:pt>
                <c:pt idx="2">
                  <c:v>0.8</c:v>
                </c:pt>
                <c:pt idx="3">
                  <c:v>0.84250000000000003</c:v>
                </c:pt>
                <c:pt idx="4">
                  <c:v>0.88000000000000012</c:v>
                </c:pt>
                <c:pt idx="5">
                  <c:v>0.91250000000000009</c:v>
                </c:pt>
                <c:pt idx="6">
                  <c:v>0.94000000000000017</c:v>
                </c:pt>
                <c:pt idx="7">
                  <c:v>0.96250000000000013</c:v>
                </c:pt>
                <c:pt idx="8">
                  <c:v>0.98</c:v>
                </c:pt>
                <c:pt idx="9">
                  <c:v>0.99250000000000016</c:v>
                </c:pt>
                <c:pt idx="10">
                  <c:v>1</c:v>
                </c:pt>
                <c:pt idx="11">
                  <c:v>1</c:v>
                </c:pt>
                <c:pt idx="12">
                  <c:v>1</c:v>
                </c:pt>
                <c:pt idx="13">
                  <c:v>1</c:v>
                </c:pt>
                <c:pt idx="14">
                  <c:v>1</c:v>
                </c:pt>
                <c:pt idx="15">
                  <c:v>1</c:v>
                </c:pt>
                <c:pt idx="16">
                  <c:v>1</c:v>
                </c:pt>
                <c:pt idx="17">
                  <c:v>1</c:v>
                </c:pt>
                <c:pt idx="18">
                  <c:v>1</c:v>
                </c:pt>
                <c:pt idx="19">
                  <c:v>1</c:v>
                </c:pt>
                <c:pt idx="20">
                  <c:v>1</c:v>
                </c:pt>
              </c:numCache>
            </c:numRef>
          </c:yVal>
          <c:smooth val="1"/>
          <c:extLst>
            <c:ext xmlns:c16="http://schemas.microsoft.com/office/drawing/2014/chart" uri="{C3380CC4-5D6E-409C-BE32-E72D297353CC}">
              <c16:uniqueId val="{00000000-CFB1-4AA4-833E-9A63F20AD90E}"/>
            </c:ext>
          </c:extLst>
        </c:ser>
        <c:dLbls>
          <c:showLegendKey val="0"/>
          <c:showVal val="0"/>
          <c:showCatName val="0"/>
          <c:showSerName val="0"/>
          <c:showPercent val="0"/>
          <c:showBubbleSize val="0"/>
        </c:dLbls>
        <c:axId val="57541760"/>
        <c:axId val="57543680"/>
      </c:scatterChart>
      <c:valAx>
        <c:axId val="57541760"/>
        <c:scaling>
          <c:orientation val="minMax"/>
          <c:max val="1"/>
          <c:min val="0"/>
        </c:scaling>
        <c:delete val="0"/>
        <c:axPos val="b"/>
        <c:title>
          <c:tx>
            <c:rich>
              <a:bodyPr/>
              <a:lstStyle/>
              <a:p>
                <a:pPr>
                  <a:defRPr sz="1100"/>
                </a:pPr>
                <a:r>
                  <a:rPr lang="en-US" sz="1100"/>
                  <a:t>Relative ET, </a:t>
                </a:r>
                <a:r>
                  <a:rPr lang="en-US" sz="1100" i="1"/>
                  <a:t>x</a:t>
                </a:r>
              </a:p>
            </c:rich>
          </c:tx>
          <c:overlay val="0"/>
        </c:title>
        <c:numFmt formatCode="0.00" sourceLinked="1"/>
        <c:majorTickMark val="out"/>
        <c:minorTickMark val="none"/>
        <c:tickLblPos val="nextTo"/>
        <c:txPr>
          <a:bodyPr/>
          <a:lstStyle/>
          <a:p>
            <a:pPr>
              <a:defRPr sz="1050"/>
            </a:pPr>
            <a:endParaRPr lang="en-US"/>
          </a:p>
        </c:txPr>
        <c:crossAx val="57543680"/>
        <c:crosses val="autoZero"/>
        <c:crossBetween val="midCat"/>
      </c:valAx>
      <c:valAx>
        <c:axId val="57543680"/>
        <c:scaling>
          <c:orientation val="minMax"/>
          <c:max val="1"/>
          <c:min val="0"/>
        </c:scaling>
        <c:delete val="0"/>
        <c:axPos val="l"/>
        <c:majorGridlines>
          <c:spPr>
            <a:ln>
              <a:noFill/>
            </a:ln>
          </c:spPr>
        </c:majorGridlines>
        <c:title>
          <c:tx>
            <c:rich>
              <a:bodyPr rot="-5400000" vert="horz"/>
              <a:lstStyle/>
              <a:p>
                <a:pPr>
                  <a:defRPr sz="1100"/>
                </a:pPr>
                <a:r>
                  <a:rPr lang="en-US" sz="1100"/>
                  <a:t>Precip Efficiency, </a:t>
                </a:r>
                <a:r>
                  <a:rPr lang="en-US" sz="1100" i="1"/>
                  <a:t>Er</a:t>
                </a:r>
              </a:p>
            </c:rich>
          </c:tx>
          <c:layout>
            <c:manualLayout>
              <c:xMode val="edge"/>
              <c:yMode val="edge"/>
              <c:x val="9.6618357487922701E-3"/>
              <c:y val="0.33177080137710058"/>
            </c:manualLayout>
          </c:layout>
          <c:overlay val="0"/>
        </c:title>
        <c:numFmt formatCode="0.0" sourceLinked="0"/>
        <c:majorTickMark val="cross"/>
        <c:minorTickMark val="cross"/>
        <c:tickLblPos val="nextTo"/>
        <c:crossAx val="57541760"/>
        <c:crosses val="autoZero"/>
        <c:crossBetween val="midCat"/>
        <c:majorUnit val="0.2"/>
        <c:minorUnit val="0.1"/>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(b)</a:t>
            </a:r>
          </a:p>
        </c:rich>
      </c:tx>
      <c:layout>
        <c:manualLayout>
          <c:xMode val="edge"/>
          <c:yMode val="edge"/>
          <c:x val="0.17009649156174322"/>
          <c:y val="0.12121212121212122"/>
        </c:manualLayout>
      </c:layout>
      <c:overlay val="1"/>
    </c:title>
    <c:autoTitleDeleted val="0"/>
    <c:plotArea>
      <c:layout>
        <c:manualLayout>
          <c:layoutTarget val="inner"/>
          <c:xMode val="edge"/>
          <c:yMode val="edge"/>
          <c:x val="0.1337527736569161"/>
          <c:y val="9.2951662292213466E-2"/>
          <c:w val="0.81218456388603588"/>
          <c:h val="0.72625364537766113"/>
        </c:manualLayout>
      </c:layout>
      <c:scatterChart>
        <c:scatterStyle val="smoothMarker"/>
        <c:varyColors val="0"/>
        <c:ser>
          <c:idx val="0"/>
          <c:order val="0"/>
          <c:tx>
            <c:strRef>
              <c:f>IrrReq!$B$23</c:f>
              <c:strCache>
                <c:ptCount val="1"/>
                <c:pt idx="0">
                  <c:v>-2</c:v>
                </c:pt>
              </c:strCache>
            </c:strRef>
          </c:tx>
          <c:marker>
            <c:symbol val="none"/>
          </c:marker>
          <c:xVal>
            <c:numRef>
              <c:f>IrrReq!$A$47:$A$67</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IrrReq!$F$47:$F$67</c:f>
              <c:numCache>
                <c:formatCode>0.00</c:formatCode>
                <c:ptCount val="21"/>
                <c:pt idx="0">
                  <c:v>0.40000000000000013</c:v>
                </c:pt>
                <c:pt idx="1">
                  <c:v>0.50500000000000012</c:v>
                </c:pt>
                <c:pt idx="2">
                  <c:v>0.60000000000000031</c:v>
                </c:pt>
                <c:pt idx="3">
                  <c:v>0.68500000000000028</c:v>
                </c:pt>
                <c:pt idx="4">
                  <c:v>0.76000000000000045</c:v>
                </c:pt>
                <c:pt idx="5">
                  <c:v>0.8250000000000004</c:v>
                </c:pt>
                <c:pt idx="6">
                  <c:v>0.88000000000000045</c:v>
                </c:pt>
                <c:pt idx="7">
                  <c:v>0.92500000000000038</c:v>
                </c:pt>
                <c:pt idx="8">
                  <c:v>0.9600000000000003</c:v>
                </c:pt>
                <c:pt idx="9">
                  <c:v>0.98500000000000032</c:v>
                </c:pt>
                <c:pt idx="10">
                  <c:v>1.0000000000000002</c:v>
                </c:pt>
                <c:pt idx="11">
                  <c:v>1</c:v>
                </c:pt>
                <c:pt idx="12">
                  <c:v>1</c:v>
                </c:pt>
                <c:pt idx="13">
                  <c:v>1</c:v>
                </c:pt>
                <c:pt idx="14">
                  <c:v>1</c:v>
                </c:pt>
                <c:pt idx="15">
                  <c:v>1</c:v>
                </c:pt>
                <c:pt idx="16">
                  <c:v>1</c:v>
                </c:pt>
                <c:pt idx="17">
                  <c:v>1</c:v>
                </c:pt>
                <c:pt idx="18">
                  <c:v>1</c:v>
                </c:pt>
                <c:pt idx="19">
                  <c:v>1</c:v>
                </c:pt>
                <c:pt idx="20">
                  <c:v>1</c:v>
                </c:pt>
              </c:numCache>
            </c:numRef>
          </c:yVal>
          <c:smooth val="1"/>
          <c:extLst>
            <c:ext xmlns:c16="http://schemas.microsoft.com/office/drawing/2014/chart" uri="{C3380CC4-5D6E-409C-BE32-E72D297353CC}">
              <c16:uniqueId val="{00000000-D215-41EA-AC22-A9A6DC802813}"/>
            </c:ext>
          </c:extLst>
        </c:ser>
        <c:dLbls>
          <c:showLegendKey val="0"/>
          <c:showVal val="0"/>
          <c:showCatName val="0"/>
          <c:showSerName val="0"/>
          <c:showPercent val="0"/>
          <c:showBubbleSize val="0"/>
        </c:dLbls>
        <c:axId val="62958592"/>
        <c:axId val="62968960"/>
      </c:scatterChart>
      <c:valAx>
        <c:axId val="62958592"/>
        <c:scaling>
          <c:orientation val="minMax"/>
          <c:max val="1"/>
          <c:min val="0"/>
        </c:scaling>
        <c:delete val="0"/>
        <c:axPos val="b"/>
        <c:title>
          <c:tx>
            <c:rich>
              <a:bodyPr/>
              <a:lstStyle/>
              <a:p>
                <a:pPr>
                  <a:defRPr sz="1100"/>
                </a:pPr>
                <a:r>
                  <a:rPr lang="en-US" sz="1100"/>
                  <a:t>Relative ET, </a:t>
                </a:r>
                <a:r>
                  <a:rPr lang="en-US" sz="1100" i="1"/>
                  <a:t>x</a:t>
                </a:r>
              </a:p>
            </c:rich>
          </c:tx>
          <c:overlay val="0"/>
        </c:title>
        <c:numFmt formatCode="0.00" sourceLinked="1"/>
        <c:majorTickMark val="out"/>
        <c:minorTickMark val="none"/>
        <c:tickLblPos val="nextTo"/>
        <c:txPr>
          <a:bodyPr/>
          <a:lstStyle/>
          <a:p>
            <a:pPr>
              <a:defRPr sz="1050"/>
            </a:pPr>
            <a:endParaRPr lang="en-US"/>
          </a:p>
        </c:txPr>
        <c:crossAx val="62968960"/>
        <c:crosses val="autoZero"/>
        <c:crossBetween val="midCat"/>
      </c:valAx>
      <c:valAx>
        <c:axId val="62968960"/>
        <c:scaling>
          <c:orientation val="minMax"/>
          <c:max val="1"/>
          <c:min val="0"/>
        </c:scaling>
        <c:delete val="0"/>
        <c:axPos val="l"/>
        <c:majorGridlines>
          <c:spPr>
            <a:ln>
              <a:noFill/>
            </a:ln>
          </c:spPr>
        </c:majorGridlines>
        <c:title>
          <c:tx>
            <c:rich>
              <a:bodyPr rot="-5400000" vert="horz"/>
              <a:lstStyle/>
              <a:p>
                <a:pPr>
                  <a:defRPr sz="1100"/>
                </a:pPr>
                <a:r>
                  <a:rPr lang="en-US" sz="1100"/>
                  <a:t>Storage Efficiency, </a:t>
                </a:r>
                <a:r>
                  <a:rPr lang="en-US" sz="1100" i="1"/>
                  <a:t>Es</a:t>
                </a:r>
              </a:p>
            </c:rich>
          </c:tx>
          <c:overlay val="0"/>
        </c:title>
        <c:numFmt formatCode="0.0" sourceLinked="0"/>
        <c:majorTickMark val="cross"/>
        <c:minorTickMark val="cross"/>
        <c:tickLblPos val="nextTo"/>
        <c:crossAx val="62958592"/>
        <c:crosses val="autoZero"/>
        <c:crossBetween val="midCat"/>
        <c:majorUnit val="0.2"/>
        <c:minorUnit val="0.1"/>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5272681943781"/>
          <c:y val="3.1976185903591317E-2"/>
          <c:w val="0.81218456388603588"/>
          <c:h val="0.81161961462134302"/>
        </c:manualLayout>
      </c:layout>
      <c:scatterChart>
        <c:scatterStyle val="smoothMarker"/>
        <c:varyColors val="0"/>
        <c:ser>
          <c:idx val="0"/>
          <c:order val="0"/>
          <c:tx>
            <c:strRef>
              <c:f>IrrReq!$B$46</c:f>
              <c:strCache>
                <c:ptCount val="1"/>
                <c:pt idx="0">
                  <c:v>ET</c:v>
                </c:pt>
              </c:strCache>
            </c:strRef>
          </c:tx>
          <c:marker>
            <c:symbol val="none"/>
          </c:marker>
          <c:xVal>
            <c:numRef>
              <c:f>IrrReq!$A$47:$A$67</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IrrReq!$B$47:$B$67</c:f>
              <c:numCache>
                <c:formatCode>0</c:formatCode>
                <c:ptCount val="21"/>
                <c:pt idx="0">
                  <c:v>630</c:v>
                </c:pt>
                <c:pt idx="1">
                  <c:v>598.5</c:v>
                </c:pt>
                <c:pt idx="2">
                  <c:v>567</c:v>
                </c:pt>
                <c:pt idx="3">
                  <c:v>535.49999999999989</c:v>
                </c:pt>
                <c:pt idx="4">
                  <c:v>503.99999999999989</c:v>
                </c:pt>
                <c:pt idx="5">
                  <c:v>472.49999999999989</c:v>
                </c:pt>
                <c:pt idx="6">
                  <c:v>440.99999999999983</c:v>
                </c:pt>
                <c:pt idx="7">
                  <c:v>409.49999999999983</c:v>
                </c:pt>
                <c:pt idx="8">
                  <c:v>377.99999999999977</c:v>
                </c:pt>
                <c:pt idx="9">
                  <c:v>346.49999999999977</c:v>
                </c:pt>
                <c:pt idx="10">
                  <c:v>314.99999999999977</c:v>
                </c:pt>
                <c:pt idx="11">
                  <c:v>283.49999999999977</c:v>
                </c:pt>
                <c:pt idx="12">
                  <c:v>251.99999999999977</c:v>
                </c:pt>
                <c:pt idx="13">
                  <c:v>220.49999999999977</c:v>
                </c:pt>
                <c:pt idx="14">
                  <c:v>188.99999999999977</c:v>
                </c:pt>
                <c:pt idx="15">
                  <c:v>157.4999999999998</c:v>
                </c:pt>
                <c:pt idx="16">
                  <c:v>125.9999999999998</c:v>
                </c:pt>
                <c:pt idx="17">
                  <c:v>94.499999999999801</c:v>
                </c:pt>
                <c:pt idx="18">
                  <c:v>62.999999999999801</c:v>
                </c:pt>
                <c:pt idx="19">
                  <c:v>31.499999999999801</c:v>
                </c:pt>
                <c:pt idx="20">
                  <c:v>-2.0108914533523148E-13</c:v>
                </c:pt>
              </c:numCache>
            </c:numRef>
          </c:yVal>
          <c:smooth val="1"/>
          <c:extLst>
            <c:ext xmlns:c16="http://schemas.microsoft.com/office/drawing/2014/chart" uri="{C3380CC4-5D6E-409C-BE32-E72D297353CC}">
              <c16:uniqueId val="{00000000-3EB0-4513-99DF-BBF8F52D07F0}"/>
            </c:ext>
          </c:extLst>
        </c:ser>
        <c:ser>
          <c:idx val="4"/>
          <c:order val="1"/>
          <c:tx>
            <c:strRef>
              <c:f>IrrReq!$H$46</c:f>
              <c:strCache>
                <c:ptCount val="1"/>
                <c:pt idx="0">
                  <c:v>IR</c:v>
                </c:pt>
              </c:strCache>
            </c:strRef>
          </c:tx>
          <c:marker>
            <c:symbol val="none"/>
          </c:marker>
          <c:xVal>
            <c:numRef>
              <c:f>IrrReq!$A$47:$A$67</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IrrReq!$H$47:$H$67</c:f>
              <c:numCache>
                <c:formatCode>0</c:formatCode>
                <c:ptCount val="21"/>
                <c:pt idx="0">
                  <c:v>390</c:v>
                </c:pt>
                <c:pt idx="1">
                  <c:v>334.875</c:v>
                </c:pt>
                <c:pt idx="2">
                  <c:v>282</c:v>
                </c:pt>
                <c:pt idx="3">
                  <c:v>231.37499999999986</c:v>
                </c:pt>
                <c:pt idx="4">
                  <c:v>182.9999999999998</c:v>
                </c:pt>
                <c:pt idx="5">
                  <c:v>136.87499999999986</c:v>
                </c:pt>
                <c:pt idx="6">
                  <c:v>92.999999999999744</c:v>
                </c:pt>
                <c:pt idx="7">
                  <c:v>51.374999999999744</c:v>
                </c:pt>
                <c:pt idx="8">
                  <c:v>11.999999999999744</c:v>
                </c:pt>
                <c:pt idx="9">
                  <c:v>-25.125000000000313</c:v>
                </c:pt>
                <c:pt idx="10">
                  <c:v>-60.000000000000242</c:v>
                </c:pt>
                <c:pt idx="11">
                  <c:v>-91.500000000000227</c:v>
                </c:pt>
                <c:pt idx="12">
                  <c:v>-123.00000000000023</c:v>
                </c:pt>
                <c:pt idx="13">
                  <c:v>-154.50000000000023</c:v>
                </c:pt>
                <c:pt idx="14">
                  <c:v>-186.00000000000023</c:v>
                </c:pt>
                <c:pt idx="15">
                  <c:v>-217.5000000000002</c:v>
                </c:pt>
                <c:pt idx="16">
                  <c:v>-249.0000000000002</c:v>
                </c:pt>
                <c:pt idx="17">
                  <c:v>-280.50000000000023</c:v>
                </c:pt>
                <c:pt idx="18">
                  <c:v>-312.00000000000023</c:v>
                </c:pt>
                <c:pt idx="19">
                  <c:v>-343.50000000000023</c:v>
                </c:pt>
                <c:pt idx="20">
                  <c:v>-375.00000000000023</c:v>
                </c:pt>
              </c:numCache>
            </c:numRef>
          </c:yVal>
          <c:smooth val="1"/>
          <c:extLst>
            <c:ext xmlns:c16="http://schemas.microsoft.com/office/drawing/2014/chart" uri="{C3380CC4-5D6E-409C-BE32-E72D297353CC}">
              <c16:uniqueId val="{00000001-3EB0-4513-99DF-BBF8F52D07F0}"/>
            </c:ext>
          </c:extLst>
        </c:ser>
        <c:ser>
          <c:idx val="5"/>
          <c:order val="2"/>
          <c:tx>
            <c:strRef>
              <c:f>IrrReq!$J$46</c:f>
              <c:strCache>
                <c:ptCount val="1"/>
                <c:pt idx="0">
                  <c:v>I</c:v>
                </c:pt>
              </c:strCache>
            </c:strRef>
          </c:tx>
          <c:marker>
            <c:symbol val="none"/>
          </c:marker>
          <c:xVal>
            <c:numRef>
              <c:f>IrrReq!$A$47:$A$67</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IrrReq!$J$47:$J$67</c:f>
              <c:numCache>
                <c:formatCode>0</c:formatCode>
                <c:ptCount val="21"/>
                <c:pt idx="0">
                  <c:v>520</c:v>
                </c:pt>
                <c:pt idx="1">
                  <c:v>425.9141494435612</c:v>
                </c:pt>
                <c:pt idx="2">
                  <c:v>343.90243902439022</c:v>
                </c:pt>
                <c:pt idx="3">
                  <c:v>271.8061674008809</c:v>
                </c:pt>
                <c:pt idx="4">
                  <c:v>207.95454545454521</c:v>
                </c:pt>
                <c:pt idx="5">
                  <c:v>151.03448275862053</c:v>
                </c:pt>
                <c:pt idx="6">
                  <c:v>99.999999999999702</c:v>
                </c:pt>
                <c:pt idx="7">
                  <c:v>54.007884362680407</c:v>
                </c:pt>
                <c:pt idx="8">
                  <c:v>12.371134020618292</c:v>
                </c:pt>
                <c:pt idx="9">
                  <c:v>-25.475285171102978</c:v>
                </c:pt>
                <c:pt idx="10">
                  <c:v>-60.000000000000242</c:v>
                </c:pt>
                <c:pt idx="11">
                  <c:v>-91.500000000000227</c:v>
                </c:pt>
                <c:pt idx="12">
                  <c:v>-123.00000000000023</c:v>
                </c:pt>
                <c:pt idx="13">
                  <c:v>-154.50000000000023</c:v>
                </c:pt>
                <c:pt idx="14">
                  <c:v>-186.00000000000023</c:v>
                </c:pt>
                <c:pt idx="15">
                  <c:v>-217.5000000000002</c:v>
                </c:pt>
                <c:pt idx="16">
                  <c:v>-249.0000000000002</c:v>
                </c:pt>
                <c:pt idx="17">
                  <c:v>-280.50000000000023</c:v>
                </c:pt>
                <c:pt idx="18">
                  <c:v>-312.00000000000023</c:v>
                </c:pt>
                <c:pt idx="19">
                  <c:v>-343.50000000000023</c:v>
                </c:pt>
                <c:pt idx="20">
                  <c:v>-375.00000000000023</c:v>
                </c:pt>
              </c:numCache>
            </c:numRef>
          </c:yVal>
          <c:smooth val="1"/>
          <c:extLst>
            <c:ext xmlns:c16="http://schemas.microsoft.com/office/drawing/2014/chart" uri="{C3380CC4-5D6E-409C-BE32-E72D297353CC}">
              <c16:uniqueId val="{00000002-3EB0-4513-99DF-BBF8F52D07F0}"/>
            </c:ext>
          </c:extLst>
        </c:ser>
        <c:ser>
          <c:idx val="6"/>
          <c:order val="3"/>
          <c:tx>
            <c:strRef>
              <c:f>IrrReq!$E$46</c:f>
              <c:strCache>
                <c:ptCount val="1"/>
                <c:pt idx="0">
                  <c:v>Re</c:v>
                </c:pt>
              </c:strCache>
            </c:strRef>
          </c:tx>
          <c:spPr>
            <a:ln>
              <a:prstDash val="sysDot"/>
            </a:ln>
          </c:spPr>
          <c:marker>
            <c:symbol val="none"/>
          </c:marker>
          <c:xVal>
            <c:numRef>
              <c:f>IrrReq!$A$47:$A$67</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IrrReq!$E$47:$E$67</c:f>
              <c:numCache>
                <c:formatCode>0</c:formatCode>
                <c:ptCount val="21"/>
                <c:pt idx="0">
                  <c:v>210</c:v>
                </c:pt>
                <c:pt idx="1">
                  <c:v>225.74999999999997</c:v>
                </c:pt>
                <c:pt idx="2">
                  <c:v>240</c:v>
                </c:pt>
                <c:pt idx="3">
                  <c:v>252.75</c:v>
                </c:pt>
                <c:pt idx="4">
                  <c:v>264.00000000000006</c:v>
                </c:pt>
                <c:pt idx="5">
                  <c:v>273.75</c:v>
                </c:pt>
                <c:pt idx="6">
                  <c:v>282.00000000000006</c:v>
                </c:pt>
                <c:pt idx="7">
                  <c:v>288.75000000000006</c:v>
                </c:pt>
                <c:pt idx="8">
                  <c:v>294</c:v>
                </c:pt>
                <c:pt idx="9">
                  <c:v>297.75000000000006</c:v>
                </c:pt>
                <c:pt idx="10">
                  <c:v>300</c:v>
                </c:pt>
                <c:pt idx="11">
                  <c:v>300</c:v>
                </c:pt>
                <c:pt idx="12">
                  <c:v>300</c:v>
                </c:pt>
                <c:pt idx="13">
                  <c:v>300</c:v>
                </c:pt>
                <c:pt idx="14">
                  <c:v>300</c:v>
                </c:pt>
                <c:pt idx="15">
                  <c:v>300</c:v>
                </c:pt>
                <c:pt idx="16">
                  <c:v>300</c:v>
                </c:pt>
                <c:pt idx="17">
                  <c:v>300</c:v>
                </c:pt>
                <c:pt idx="18">
                  <c:v>300</c:v>
                </c:pt>
                <c:pt idx="19">
                  <c:v>300</c:v>
                </c:pt>
                <c:pt idx="20">
                  <c:v>300</c:v>
                </c:pt>
              </c:numCache>
            </c:numRef>
          </c:yVal>
          <c:smooth val="1"/>
          <c:extLst>
            <c:ext xmlns:c16="http://schemas.microsoft.com/office/drawing/2014/chart" uri="{C3380CC4-5D6E-409C-BE32-E72D297353CC}">
              <c16:uniqueId val="{00000003-3EB0-4513-99DF-BBF8F52D07F0}"/>
            </c:ext>
          </c:extLst>
        </c:ser>
        <c:ser>
          <c:idx val="7"/>
          <c:order val="4"/>
          <c:tx>
            <c:strRef>
              <c:f>IrrReq!$G$46</c:f>
              <c:strCache>
                <c:ptCount val="1"/>
                <c:pt idx="0">
                  <c:v>Se</c:v>
                </c:pt>
              </c:strCache>
            </c:strRef>
          </c:tx>
          <c:spPr>
            <a:ln>
              <a:prstDash val="sysDot"/>
            </a:ln>
          </c:spPr>
          <c:marker>
            <c:symbol val="none"/>
          </c:marker>
          <c:xVal>
            <c:numRef>
              <c:f>IrrReq!$A$47:$A$67</c:f>
              <c:numCache>
                <c:formatCode>0.00</c:formatCode>
                <c:ptCount val="21"/>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pt idx="20">
                  <c:v>-3.1918911957973251E-16</c:v>
                </c:pt>
              </c:numCache>
            </c:numRef>
          </c:xVal>
          <c:yVal>
            <c:numRef>
              <c:f>IrrReq!$G$47:$G$67</c:f>
              <c:numCache>
                <c:formatCode>0</c:formatCode>
                <c:ptCount val="21"/>
                <c:pt idx="0">
                  <c:v>30.000000000000011</c:v>
                </c:pt>
                <c:pt idx="1">
                  <c:v>37.875000000000007</c:v>
                </c:pt>
                <c:pt idx="2">
                  <c:v>45.000000000000021</c:v>
                </c:pt>
                <c:pt idx="3">
                  <c:v>51.375000000000021</c:v>
                </c:pt>
                <c:pt idx="4">
                  <c:v>57.000000000000036</c:v>
                </c:pt>
                <c:pt idx="5">
                  <c:v>61.875000000000028</c:v>
                </c:pt>
                <c:pt idx="6">
                  <c:v>66.000000000000028</c:v>
                </c:pt>
                <c:pt idx="7">
                  <c:v>69.375000000000028</c:v>
                </c:pt>
                <c:pt idx="8">
                  <c:v>72.000000000000028</c:v>
                </c:pt>
                <c:pt idx="9">
                  <c:v>73.875000000000028</c:v>
                </c:pt>
                <c:pt idx="10">
                  <c:v>75.000000000000014</c:v>
                </c:pt>
                <c:pt idx="11">
                  <c:v>75</c:v>
                </c:pt>
                <c:pt idx="12">
                  <c:v>75</c:v>
                </c:pt>
                <c:pt idx="13">
                  <c:v>75</c:v>
                </c:pt>
                <c:pt idx="14">
                  <c:v>75</c:v>
                </c:pt>
                <c:pt idx="15">
                  <c:v>75</c:v>
                </c:pt>
                <c:pt idx="16">
                  <c:v>75</c:v>
                </c:pt>
                <c:pt idx="17">
                  <c:v>75</c:v>
                </c:pt>
                <c:pt idx="18">
                  <c:v>75</c:v>
                </c:pt>
                <c:pt idx="19">
                  <c:v>75</c:v>
                </c:pt>
                <c:pt idx="20">
                  <c:v>75</c:v>
                </c:pt>
              </c:numCache>
            </c:numRef>
          </c:yVal>
          <c:smooth val="1"/>
          <c:extLst>
            <c:ext xmlns:c16="http://schemas.microsoft.com/office/drawing/2014/chart" uri="{C3380CC4-5D6E-409C-BE32-E72D297353CC}">
              <c16:uniqueId val="{00000004-3EB0-4513-99DF-BBF8F52D07F0}"/>
            </c:ext>
          </c:extLst>
        </c:ser>
        <c:dLbls>
          <c:showLegendKey val="0"/>
          <c:showVal val="0"/>
          <c:showCatName val="0"/>
          <c:showSerName val="0"/>
          <c:showPercent val="0"/>
          <c:showBubbleSize val="0"/>
        </c:dLbls>
        <c:axId val="62810368"/>
        <c:axId val="62837120"/>
      </c:scatterChart>
      <c:valAx>
        <c:axId val="62810368"/>
        <c:scaling>
          <c:orientation val="minMax"/>
          <c:max val="1"/>
          <c:min val="0"/>
        </c:scaling>
        <c:delete val="0"/>
        <c:axPos val="b"/>
        <c:title>
          <c:tx>
            <c:rich>
              <a:bodyPr/>
              <a:lstStyle/>
              <a:p>
                <a:pPr>
                  <a:defRPr sz="1050"/>
                </a:pPr>
                <a:r>
                  <a:rPr lang="en-US" sz="1050"/>
                  <a:t>Relative ET, </a:t>
                </a:r>
                <a:r>
                  <a:rPr lang="en-US" sz="1050" i="1"/>
                  <a:t>x</a:t>
                </a:r>
              </a:p>
            </c:rich>
          </c:tx>
          <c:overlay val="0"/>
        </c:title>
        <c:numFmt formatCode="0.00" sourceLinked="1"/>
        <c:majorTickMark val="out"/>
        <c:minorTickMark val="none"/>
        <c:tickLblPos val="nextTo"/>
        <c:crossAx val="62837120"/>
        <c:crosses val="autoZero"/>
        <c:crossBetween val="midCat"/>
      </c:valAx>
      <c:valAx>
        <c:axId val="62837120"/>
        <c:scaling>
          <c:orientation val="minMax"/>
          <c:min val="0"/>
        </c:scaling>
        <c:delete val="0"/>
        <c:axPos val="l"/>
        <c:majorGridlines/>
        <c:title>
          <c:tx>
            <c:rich>
              <a:bodyPr rot="-5400000" vert="horz"/>
              <a:lstStyle/>
              <a:p>
                <a:pPr>
                  <a:defRPr sz="1050"/>
                </a:pPr>
                <a:r>
                  <a:rPr lang="en-US" sz="1050"/>
                  <a:t>ET, </a:t>
                </a:r>
                <a:r>
                  <a:rPr lang="en-US" sz="1050" i="1"/>
                  <a:t>I</a:t>
                </a:r>
                <a:r>
                  <a:rPr lang="en-US" sz="1050" i="1" baseline="-25000"/>
                  <a:t>R</a:t>
                </a:r>
                <a:r>
                  <a:rPr lang="en-US" sz="1050"/>
                  <a:t>, </a:t>
                </a:r>
                <a:r>
                  <a:rPr lang="en-US" sz="1050" i="1"/>
                  <a:t>I</a:t>
                </a:r>
                <a:r>
                  <a:rPr lang="en-US" sz="1050" i="1" baseline="-25000"/>
                  <a:t>S</a:t>
                </a:r>
                <a:r>
                  <a:rPr lang="en-US" sz="1050"/>
                  <a:t>, </a:t>
                </a:r>
                <a:r>
                  <a:rPr lang="en-US" sz="1050" i="1"/>
                  <a:t>Re</a:t>
                </a:r>
                <a:r>
                  <a:rPr lang="en-US" sz="1050"/>
                  <a:t>, </a:t>
                </a:r>
                <a:r>
                  <a:rPr lang="en-US" sz="1050" i="1"/>
                  <a:t>Se</a:t>
                </a:r>
                <a:r>
                  <a:rPr lang="en-US" sz="1050"/>
                  <a:t>, ETm (mm)</a:t>
                </a:r>
              </a:p>
            </c:rich>
          </c:tx>
          <c:overlay val="0"/>
        </c:title>
        <c:numFmt formatCode="0" sourceLinked="0"/>
        <c:majorTickMark val="out"/>
        <c:minorTickMark val="none"/>
        <c:tickLblPos val="nextTo"/>
        <c:crossAx val="62810368"/>
        <c:crosses val="autoZero"/>
        <c:crossBetween val="midCat"/>
      </c:valAx>
      <c:spPr>
        <a:ln>
          <a:solidFill>
            <a:schemeClr val="tx1"/>
          </a:solidFill>
        </a:ln>
      </c:spPr>
    </c:plotArea>
    <c:legend>
      <c:legendPos val="r"/>
      <c:layout>
        <c:manualLayout>
          <c:xMode val="edge"/>
          <c:yMode val="edge"/>
          <c:x val="0.15870745664988598"/>
          <c:y val="5.7696690352730298E-2"/>
          <c:w val="0.27011836612345463"/>
          <c:h val="0.2581198386787017"/>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527736569161"/>
          <c:y val="9.2951662292213466E-2"/>
          <c:w val="0.82426521009198173"/>
          <c:h val="0.72625364537766113"/>
        </c:manualLayout>
      </c:layout>
      <c:scatterChart>
        <c:scatterStyle val="smoothMarker"/>
        <c:varyColors val="0"/>
        <c:ser>
          <c:idx val="1"/>
          <c:order val="0"/>
          <c:tx>
            <c:v>WPF</c:v>
          </c:tx>
          <c:spPr>
            <a:ln>
              <a:solidFill>
                <a:schemeClr val="tx1"/>
              </a:solidFill>
            </a:ln>
          </c:spPr>
          <c:marker>
            <c:symbol val="none"/>
          </c:marker>
          <c:xVal>
            <c:numRef>
              <c:f>IrrReq!$B$47:$B$63</c:f>
              <c:numCache>
                <c:formatCode>0</c:formatCode>
                <c:ptCount val="17"/>
                <c:pt idx="0">
                  <c:v>630</c:v>
                </c:pt>
                <c:pt idx="1">
                  <c:v>598.5</c:v>
                </c:pt>
                <c:pt idx="2">
                  <c:v>567</c:v>
                </c:pt>
                <c:pt idx="3">
                  <c:v>535.49999999999989</c:v>
                </c:pt>
                <c:pt idx="4">
                  <c:v>503.99999999999989</c:v>
                </c:pt>
                <c:pt idx="5">
                  <c:v>472.49999999999989</c:v>
                </c:pt>
                <c:pt idx="6">
                  <c:v>440.99999999999983</c:v>
                </c:pt>
                <c:pt idx="7">
                  <c:v>409.49999999999983</c:v>
                </c:pt>
                <c:pt idx="8">
                  <c:v>377.99999999999977</c:v>
                </c:pt>
                <c:pt idx="9">
                  <c:v>346.49999999999977</c:v>
                </c:pt>
                <c:pt idx="10">
                  <c:v>314.99999999999977</c:v>
                </c:pt>
                <c:pt idx="11">
                  <c:v>283.49999999999977</c:v>
                </c:pt>
                <c:pt idx="12">
                  <c:v>251.99999999999977</c:v>
                </c:pt>
                <c:pt idx="13">
                  <c:v>220.49999999999977</c:v>
                </c:pt>
                <c:pt idx="14">
                  <c:v>188.99999999999977</c:v>
                </c:pt>
                <c:pt idx="15">
                  <c:v>157.4999999999998</c:v>
                </c:pt>
                <c:pt idx="16">
                  <c:v>125.9999999999998</c:v>
                </c:pt>
              </c:numCache>
            </c:numRef>
          </c:xVal>
          <c:yVal>
            <c:numRef>
              <c:f>IrrReq!$C$47:$C$63</c:f>
              <c:numCache>
                <c:formatCode>0.00</c:formatCode>
                <c:ptCount val="17"/>
                <c:pt idx="0">
                  <c:v>0.99999999999999989</c:v>
                </c:pt>
                <c:pt idx="1">
                  <c:v>0.9230769230769228</c:v>
                </c:pt>
                <c:pt idx="2">
                  <c:v>0.84615384615384592</c:v>
                </c:pt>
                <c:pt idx="3">
                  <c:v>0.76923076923076883</c:v>
                </c:pt>
                <c:pt idx="4">
                  <c:v>0.69230769230769196</c:v>
                </c:pt>
                <c:pt idx="5">
                  <c:v>0.61538461538461486</c:v>
                </c:pt>
                <c:pt idx="6">
                  <c:v>0.53846153846153799</c:v>
                </c:pt>
                <c:pt idx="7">
                  <c:v>0.46153846153846101</c:v>
                </c:pt>
                <c:pt idx="8">
                  <c:v>0.38461538461538403</c:v>
                </c:pt>
                <c:pt idx="9">
                  <c:v>0.30769230769230704</c:v>
                </c:pt>
                <c:pt idx="10">
                  <c:v>0.23076923076923017</c:v>
                </c:pt>
                <c:pt idx="11">
                  <c:v>0.15384615384615319</c:v>
                </c:pt>
                <c:pt idx="12">
                  <c:v>7.6923076923076317E-2</c:v>
                </c:pt>
                <c:pt idx="13">
                  <c:v>0</c:v>
                </c:pt>
                <c:pt idx="14">
                  <c:v>-7.6923076923077482E-2</c:v>
                </c:pt>
                <c:pt idx="15">
                  <c:v>-0.15384615384615435</c:v>
                </c:pt>
                <c:pt idx="16">
                  <c:v>-0.23076923076923128</c:v>
                </c:pt>
              </c:numCache>
            </c:numRef>
          </c:yVal>
          <c:smooth val="1"/>
          <c:extLst>
            <c:ext xmlns:c16="http://schemas.microsoft.com/office/drawing/2014/chart" uri="{C3380CC4-5D6E-409C-BE32-E72D297353CC}">
              <c16:uniqueId val="{00000000-E934-4494-A893-A7DD9ABD32F7}"/>
            </c:ext>
          </c:extLst>
        </c:ser>
        <c:ser>
          <c:idx val="0"/>
          <c:order val="1"/>
          <c:tx>
            <c:v>Irr. Def.</c:v>
          </c:tx>
          <c:spPr>
            <a:ln>
              <a:solidFill>
                <a:schemeClr val="accent1"/>
              </a:solidFill>
              <a:prstDash val="sysDash"/>
            </a:ln>
          </c:spPr>
          <c:marker>
            <c:symbol val="none"/>
          </c:marker>
          <c:xVal>
            <c:numRef>
              <c:f>IrrReq!$H$47:$H$63</c:f>
              <c:numCache>
                <c:formatCode>0</c:formatCode>
                <c:ptCount val="17"/>
                <c:pt idx="0">
                  <c:v>390</c:v>
                </c:pt>
                <c:pt idx="1">
                  <c:v>334.875</c:v>
                </c:pt>
                <c:pt idx="2">
                  <c:v>282</c:v>
                </c:pt>
                <c:pt idx="3">
                  <c:v>231.37499999999986</c:v>
                </c:pt>
                <c:pt idx="4">
                  <c:v>182.9999999999998</c:v>
                </c:pt>
                <c:pt idx="5">
                  <c:v>136.87499999999986</c:v>
                </c:pt>
                <c:pt idx="6">
                  <c:v>92.999999999999744</c:v>
                </c:pt>
                <c:pt idx="7">
                  <c:v>51.374999999999744</c:v>
                </c:pt>
                <c:pt idx="8">
                  <c:v>11.999999999999744</c:v>
                </c:pt>
                <c:pt idx="9">
                  <c:v>-25.125000000000313</c:v>
                </c:pt>
                <c:pt idx="10">
                  <c:v>-60.000000000000242</c:v>
                </c:pt>
                <c:pt idx="11">
                  <c:v>-91.500000000000227</c:v>
                </c:pt>
                <c:pt idx="12">
                  <c:v>-123.00000000000023</c:v>
                </c:pt>
                <c:pt idx="13">
                  <c:v>-154.50000000000023</c:v>
                </c:pt>
                <c:pt idx="14">
                  <c:v>-186.00000000000023</c:v>
                </c:pt>
                <c:pt idx="15">
                  <c:v>-217.5000000000002</c:v>
                </c:pt>
                <c:pt idx="16">
                  <c:v>-249.0000000000002</c:v>
                </c:pt>
              </c:numCache>
            </c:numRef>
          </c:xVal>
          <c:yVal>
            <c:numRef>
              <c:f>IrrReq!$C$47:$C$63</c:f>
              <c:numCache>
                <c:formatCode>0.00</c:formatCode>
                <c:ptCount val="17"/>
                <c:pt idx="0">
                  <c:v>0.99999999999999989</c:v>
                </c:pt>
                <c:pt idx="1">
                  <c:v>0.9230769230769228</c:v>
                </c:pt>
                <c:pt idx="2">
                  <c:v>0.84615384615384592</c:v>
                </c:pt>
                <c:pt idx="3">
                  <c:v>0.76923076923076883</c:v>
                </c:pt>
                <c:pt idx="4">
                  <c:v>0.69230769230769196</c:v>
                </c:pt>
                <c:pt idx="5">
                  <c:v>0.61538461538461486</c:v>
                </c:pt>
                <c:pt idx="6">
                  <c:v>0.53846153846153799</c:v>
                </c:pt>
                <c:pt idx="7">
                  <c:v>0.46153846153846101</c:v>
                </c:pt>
                <c:pt idx="8">
                  <c:v>0.38461538461538403</c:v>
                </c:pt>
                <c:pt idx="9">
                  <c:v>0.30769230769230704</c:v>
                </c:pt>
                <c:pt idx="10">
                  <c:v>0.23076923076923017</c:v>
                </c:pt>
                <c:pt idx="11">
                  <c:v>0.15384615384615319</c:v>
                </c:pt>
                <c:pt idx="12">
                  <c:v>7.6923076923076317E-2</c:v>
                </c:pt>
                <c:pt idx="13">
                  <c:v>0</c:v>
                </c:pt>
                <c:pt idx="14">
                  <c:v>-7.6923076923077482E-2</c:v>
                </c:pt>
                <c:pt idx="15">
                  <c:v>-0.15384615384615435</c:v>
                </c:pt>
                <c:pt idx="16">
                  <c:v>-0.23076923076923128</c:v>
                </c:pt>
              </c:numCache>
            </c:numRef>
          </c:yVal>
          <c:smooth val="1"/>
          <c:extLst>
            <c:ext xmlns:c16="http://schemas.microsoft.com/office/drawing/2014/chart" uri="{C3380CC4-5D6E-409C-BE32-E72D297353CC}">
              <c16:uniqueId val="{00000001-E934-4494-A893-A7DD9ABD32F7}"/>
            </c:ext>
          </c:extLst>
        </c:ser>
        <c:ser>
          <c:idx val="2"/>
          <c:order val="2"/>
          <c:tx>
            <c:v>IWPF</c:v>
          </c:tx>
          <c:spPr>
            <a:ln>
              <a:solidFill>
                <a:schemeClr val="accent2"/>
              </a:solidFill>
              <a:prstDash val="dash"/>
            </a:ln>
          </c:spPr>
          <c:marker>
            <c:symbol val="none"/>
          </c:marker>
          <c:xVal>
            <c:numRef>
              <c:f>IrrReq!$J$47:$J$63</c:f>
              <c:numCache>
                <c:formatCode>0</c:formatCode>
                <c:ptCount val="17"/>
                <c:pt idx="0">
                  <c:v>520</c:v>
                </c:pt>
                <c:pt idx="1">
                  <c:v>425.9141494435612</c:v>
                </c:pt>
                <c:pt idx="2">
                  <c:v>343.90243902439022</c:v>
                </c:pt>
                <c:pt idx="3">
                  <c:v>271.8061674008809</c:v>
                </c:pt>
                <c:pt idx="4">
                  <c:v>207.95454545454521</c:v>
                </c:pt>
                <c:pt idx="5">
                  <c:v>151.03448275862053</c:v>
                </c:pt>
                <c:pt idx="6">
                  <c:v>99.999999999999702</c:v>
                </c:pt>
                <c:pt idx="7">
                  <c:v>54.007884362680407</c:v>
                </c:pt>
                <c:pt idx="8">
                  <c:v>12.371134020618292</c:v>
                </c:pt>
                <c:pt idx="9">
                  <c:v>-25.475285171102978</c:v>
                </c:pt>
                <c:pt idx="10">
                  <c:v>-60.000000000000242</c:v>
                </c:pt>
                <c:pt idx="11">
                  <c:v>-91.500000000000227</c:v>
                </c:pt>
                <c:pt idx="12">
                  <c:v>-123.00000000000023</c:v>
                </c:pt>
                <c:pt idx="13">
                  <c:v>-154.50000000000023</c:v>
                </c:pt>
                <c:pt idx="14">
                  <c:v>-186.00000000000023</c:v>
                </c:pt>
                <c:pt idx="15">
                  <c:v>-217.5000000000002</c:v>
                </c:pt>
                <c:pt idx="16">
                  <c:v>-249.0000000000002</c:v>
                </c:pt>
              </c:numCache>
            </c:numRef>
          </c:xVal>
          <c:yVal>
            <c:numRef>
              <c:f>IrrReq!$C$47:$C$63</c:f>
              <c:numCache>
                <c:formatCode>0.00</c:formatCode>
                <c:ptCount val="17"/>
                <c:pt idx="0">
                  <c:v>0.99999999999999989</c:v>
                </c:pt>
                <c:pt idx="1">
                  <c:v>0.9230769230769228</c:v>
                </c:pt>
                <c:pt idx="2">
                  <c:v>0.84615384615384592</c:v>
                </c:pt>
                <c:pt idx="3">
                  <c:v>0.76923076923076883</c:v>
                </c:pt>
                <c:pt idx="4">
                  <c:v>0.69230769230769196</c:v>
                </c:pt>
                <c:pt idx="5">
                  <c:v>0.61538461538461486</c:v>
                </c:pt>
                <c:pt idx="6">
                  <c:v>0.53846153846153799</c:v>
                </c:pt>
                <c:pt idx="7">
                  <c:v>0.46153846153846101</c:v>
                </c:pt>
                <c:pt idx="8">
                  <c:v>0.38461538461538403</c:v>
                </c:pt>
                <c:pt idx="9">
                  <c:v>0.30769230769230704</c:v>
                </c:pt>
                <c:pt idx="10">
                  <c:v>0.23076923076923017</c:v>
                </c:pt>
                <c:pt idx="11">
                  <c:v>0.15384615384615319</c:v>
                </c:pt>
                <c:pt idx="12">
                  <c:v>7.6923076923076317E-2</c:v>
                </c:pt>
                <c:pt idx="13">
                  <c:v>0</c:v>
                </c:pt>
                <c:pt idx="14">
                  <c:v>-7.6923076923077482E-2</c:v>
                </c:pt>
                <c:pt idx="15">
                  <c:v>-0.15384615384615435</c:v>
                </c:pt>
                <c:pt idx="16">
                  <c:v>-0.23076923076923128</c:v>
                </c:pt>
              </c:numCache>
            </c:numRef>
          </c:yVal>
          <c:smooth val="1"/>
          <c:extLst>
            <c:ext xmlns:c16="http://schemas.microsoft.com/office/drawing/2014/chart" uri="{C3380CC4-5D6E-409C-BE32-E72D297353CC}">
              <c16:uniqueId val="{00000002-E934-4494-A893-A7DD9ABD32F7}"/>
            </c:ext>
          </c:extLst>
        </c:ser>
        <c:ser>
          <c:idx val="4"/>
          <c:order val="3"/>
          <c:tx>
            <c:v>IWPFm</c:v>
          </c:tx>
          <c:spPr>
            <a:ln w="34925">
              <a:solidFill>
                <a:schemeClr val="accent2"/>
              </a:solidFill>
              <a:prstDash val="sysDot"/>
            </a:ln>
          </c:spPr>
          <c:marker>
            <c:symbol val="none"/>
          </c:marker>
          <c:xVal>
            <c:numRef>
              <c:f>IrrReq!$D$75:$D$85</c:f>
              <c:numCache>
                <c:formatCode>General</c:formatCode>
                <c:ptCount val="11"/>
                <c:pt idx="0" formatCode="0.00">
                  <c:v>0</c:v>
                </c:pt>
                <c:pt idx="1">
                  <c:v>52</c:v>
                </c:pt>
                <c:pt idx="2">
                  <c:v>104</c:v>
                </c:pt>
                <c:pt idx="3">
                  <c:v>156</c:v>
                </c:pt>
                <c:pt idx="4">
                  <c:v>208</c:v>
                </c:pt>
                <c:pt idx="5">
                  <c:v>260</c:v>
                </c:pt>
                <c:pt idx="6">
                  <c:v>312</c:v>
                </c:pt>
                <c:pt idx="7">
                  <c:v>364</c:v>
                </c:pt>
                <c:pt idx="8">
                  <c:v>416</c:v>
                </c:pt>
                <c:pt idx="9">
                  <c:v>468</c:v>
                </c:pt>
                <c:pt idx="10">
                  <c:v>520</c:v>
                </c:pt>
              </c:numCache>
            </c:numRef>
          </c:xVal>
          <c:yVal>
            <c:numRef>
              <c:f>IrrReq!$E$75:$E$85</c:f>
              <c:numCache>
                <c:formatCode>0.00</c:formatCode>
                <c:ptCount val="11"/>
                <c:pt idx="0">
                  <c:v>0.36030476190476191</c:v>
                </c:pt>
                <c:pt idx="1">
                  <c:v>0.45079121024938829</c:v>
                </c:pt>
                <c:pt idx="2">
                  <c:v>0.53538500869732519</c:v>
                </c:pt>
                <c:pt idx="3">
                  <c:v>0.61408615724857274</c:v>
                </c:pt>
                <c:pt idx="4">
                  <c:v>0.6868946559031307</c:v>
                </c:pt>
                <c:pt idx="5">
                  <c:v>0.7538105046609993</c:v>
                </c:pt>
                <c:pt idx="6">
                  <c:v>0.81483370352217832</c:v>
                </c:pt>
                <c:pt idx="7">
                  <c:v>0.86996425248666776</c:v>
                </c:pt>
                <c:pt idx="8">
                  <c:v>0.91920215155446816</c:v>
                </c:pt>
                <c:pt idx="9">
                  <c:v>0.96254740072557876</c:v>
                </c:pt>
                <c:pt idx="10">
                  <c:v>1</c:v>
                </c:pt>
              </c:numCache>
            </c:numRef>
          </c:yVal>
          <c:smooth val="1"/>
          <c:extLst>
            <c:ext xmlns:c16="http://schemas.microsoft.com/office/drawing/2014/chart" uri="{C3380CC4-5D6E-409C-BE32-E72D297353CC}">
              <c16:uniqueId val="{00000001-C574-495B-9203-1AA17F154709}"/>
            </c:ext>
          </c:extLst>
        </c:ser>
        <c:ser>
          <c:idx val="3"/>
          <c:order val="4"/>
          <c:tx>
            <c:v>TWPF</c:v>
          </c:tx>
          <c:spPr>
            <a:ln>
              <a:solidFill>
                <a:srgbClr val="00B050"/>
              </a:solidFill>
              <a:prstDash val="sysDot"/>
            </a:ln>
          </c:spPr>
          <c:marker>
            <c:symbol val="none"/>
          </c:marker>
          <c:xVal>
            <c:numRef>
              <c:f>IrrReq!$K$47:$K$63</c:f>
              <c:numCache>
                <c:formatCode>0</c:formatCode>
                <c:ptCount val="17"/>
                <c:pt idx="0">
                  <c:v>895</c:v>
                </c:pt>
                <c:pt idx="1">
                  <c:v>800.9141494435612</c:v>
                </c:pt>
                <c:pt idx="2">
                  <c:v>718.90243902439022</c:v>
                </c:pt>
                <c:pt idx="3">
                  <c:v>646.8061674008809</c:v>
                </c:pt>
                <c:pt idx="4">
                  <c:v>582.95454545454527</c:v>
                </c:pt>
                <c:pt idx="5">
                  <c:v>526.03448275862047</c:v>
                </c:pt>
                <c:pt idx="6">
                  <c:v>474.99999999999972</c:v>
                </c:pt>
                <c:pt idx="7">
                  <c:v>429.00788436268044</c:v>
                </c:pt>
                <c:pt idx="8">
                  <c:v>387.37113402061829</c:v>
                </c:pt>
                <c:pt idx="9">
                  <c:v>349.524714828897</c:v>
                </c:pt>
                <c:pt idx="10">
                  <c:v>314.99999999999977</c:v>
                </c:pt>
                <c:pt idx="11">
                  <c:v>283.49999999999977</c:v>
                </c:pt>
                <c:pt idx="12">
                  <c:v>251.99999999999977</c:v>
                </c:pt>
                <c:pt idx="13">
                  <c:v>220.49999999999977</c:v>
                </c:pt>
                <c:pt idx="14">
                  <c:v>188.99999999999977</c:v>
                </c:pt>
                <c:pt idx="15">
                  <c:v>157.4999999999998</c:v>
                </c:pt>
                <c:pt idx="16">
                  <c:v>125.9999999999998</c:v>
                </c:pt>
              </c:numCache>
            </c:numRef>
          </c:xVal>
          <c:yVal>
            <c:numRef>
              <c:f>IrrReq!$C$47:$C$63</c:f>
              <c:numCache>
                <c:formatCode>0.00</c:formatCode>
                <c:ptCount val="17"/>
                <c:pt idx="0">
                  <c:v>0.99999999999999989</c:v>
                </c:pt>
                <c:pt idx="1">
                  <c:v>0.9230769230769228</c:v>
                </c:pt>
                <c:pt idx="2">
                  <c:v>0.84615384615384592</c:v>
                </c:pt>
                <c:pt idx="3">
                  <c:v>0.76923076923076883</c:v>
                </c:pt>
                <c:pt idx="4">
                  <c:v>0.69230769230769196</c:v>
                </c:pt>
                <c:pt idx="5">
                  <c:v>0.61538461538461486</c:v>
                </c:pt>
                <c:pt idx="6">
                  <c:v>0.53846153846153799</c:v>
                </c:pt>
                <c:pt idx="7">
                  <c:v>0.46153846153846101</c:v>
                </c:pt>
                <c:pt idx="8">
                  <c:v>0.38461538461538403</c:v>
                </c:pt>
                <c:pt idx="9">
                  <c:v>0.30769230769230704</c:v>
                </c:pt>
                <c:pt idx="10">
                  <c:v>0.23076923076923017</c:v>
                </c:pt>
                <c:pt idx="11">
                  <c:v>0.15384615384615319</c:v>
                </c:pt>
                <c:pt idx="12">
                  <c:v>7.6923076923076317E-2</c:v>
                </c:pt>
                <c:pt idx="13">
                  <c:v>0</c:v>
                </c:pt>
                <c:pt idx="14">
                  <c:v>-7.6923076923077482E-2</c:v>
                </c:pt>
                <c:pt idx="15">
                  <c:v>-0.15384615384615435</c:v>
                </c:pt>
                <c:pt idx="16">
                  <c:v>-0.23076923076923128</c:v>
                </c:pt>
              </c:numCache>
            </c:numRef>
          </c:yVal>
          <c:smooth val="1"/>
          <c:extLst>
            <c:ext xmlns:c16="http://schemas.microsoft.com/office/drawing/2014/chart" uri="{C3380CC4-5D6E-409C-BE32-E72D297353CC}">
              <c16:uniqueId val="{00000003-E934-4494-A893-A7DD9ABD32F7}"/>
            </c:ext>
          </c:extLst>
        </c:ser>
        <c:dLbls>
          <c:showLegendKey val="0"/>
          <c:showVal val="0"/>
          <c:showCatName val="0"/>
          <c:showSerName val="0"/>
          <c:showPercent val="0"/>
          <c:showBubbleSize val="0"/>
        </c:dLbls>
        <c:axId val="63097472"/>
        <c:axId val="63107840"/>
      </c:scatterChart>
      <c:valAx>
        <c:axId val="63097472"/>
        <c:scaling>
          <c:orientation val="minMax"/>
          <c:max val="900"/>
          <c:min val="0"/>
        </c:scaling>
        <c:delete val="0"/>
        <c:axPos val="b"/>
        <c:title>
          <c:tx>
            <c:rich>
              <a:bodyPr/>
              <a:lstStyle/>
              <a:p>
                <a:pPr>
                  <a:defRPr sz="1100"/>
                </a:pPr>
                <a:r>
                  <a:rPr lang="en-US" sz="1100" i="0"/>
                  <a:t>ET, Irr. Deficit, Irrigation, and Total Water Supply </a:t>
                </a:r>
                <a:r>
                  <a:rPr lang="en-US" sz="1100" i="0" baseline="0"/>
                  <a:t>(mm) </a:t>
                </a:r>
              </a:p>
            </c:rich>
          </c:tx>
          <c:overlay val="0"/>
        </c:title>
        <c:numFmt formatCode="0" sourceLinked="1"/>
        <c:majorTickMark val="out"/>
        <c:minorTickMark val="none"/>
        <c:tickLblPos val="nextTo"/>
        <c:txPr>
          <a:bodyPr/>
          <a:lstStyle/>
          <a:p>
            <a:pPr>
              <a:defRPr sz="1050"/>
            </a:pPr>
            <a:endParaRPr lang="en-US"/>
          </a:p>
        </c:txPr>
        <c:crossAx val="63107840"/>
        <c:crosses val="autoZero"/>
        <c:crossBetween val="midCat"/>
        <c:majorUnit val="100"/>
        <c:minorUnit val="50"/>
      </c:valAx>
      <c:valAx>
        <c:axId val="63107840"/>
        <c:scaling>
          <c:orientation val="minMax"/>
          <c:max val="1"/>
          <c:min val="0"/>
        </c:scaling>
        <c:delete val="0"/>
        <c:axPos val="l"/>
        <c:majorGridlines>
          <c:spPr>
            <a:ln>
              <a:noFill/>
            </a:ln>
          </c:spPr>
        </c:majorGridlines>
        <c:title>
          <c:tx>
            <c:rich>
              <a:bodyPr rot="-5400000" vert="horz"/>
              <a:lstStyle/>
              <a:p>
                <a:pPr>
                  <a:defRPr sz="1100" i="0"/>
                </a:pPr>
                <a:r>
                  <a:rPr lang="en-US" sz="1100" i="0"/>
                  <a:t>Relative</a:t>
                </a:r>
                <a:r>
                  <a:rPr lang="en-US" sz="1100" i="0" baseline="0"/>
                  <a:t> Yield, Y/Ym</a:t>
                </a:r>
                <a:endParaRPr lang="en-US" sz="1100" i="0" baseline="-25000"/>
              </a:p>
            </c:rich>
          </c:tx>
          <c:overlay val="0"/>
        </c:title>
        <c:numFmt formatCode="0.0" sourceLinked="0"/>
        <c:majorTickMark val="cross"/>
        <c:minorTickMark val="cross"/>
        <c:tickLblPos val="nextTo"/>
        <c:txPr>
          <a:bodyPr/>
          <a:lstStyle/>
          <a:p>
            <a:pPr>
              <a:defRPr sz="1050"/>
            </a:pPr>
            <a:endParaRPr lang="en-US"/>
          </a:p>
        </c:txPr>
        <c:crossAx val="63097472"/>
        <c:crosses val="autoZero"/>
        <c:crossBetween val="midCat"/>
        <c:majorUnit val="0.2"/>
        <c:minorUnit val="0.1"/>
      </c:valAx>
      <c:spPr>
        <a:ln>
          <a:solidFill>
            <a:schemeClr val="tx1"/>
          </a:solidFill>
        </a:ln>
      </c:spPr>
    </c:plotArea>
    <c:legend>
      <c:legendPos val="r"/>
      <c:layout>
        <c:manualLayout>
          <c:xMode val="edge"/>
          <c:yMode val="edge"/>
          <c:x val="0.68671842076078515"/>
          <c:y val="0.43403463286601368"/>
          <c:w val="0.21777827067391226"/>
          <c:h val="0.37306510466679471"/>
        </c:manualLayout>
      </c:layout>
      <c:overlay val="0"/>
      <c:spPr>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5</xdr:col>
      <xdr:colOff>95250</xdr:colOff>
      <xdr:row>0</xdr:row>
      <xdr:rowOff>109537</xdr:rowOff>
    </xdr:from>
    <xdr:to>
      <xdr:col>11</xdr:col>
      <xdr:colOff>381000</xdr:colOff>
      <xdr:row>14</xdr:row>
      <xdr:rowOff>185737</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114300</xdr:colOff>
      <xdr:row>29</xdr:row>
      <xdr:rowOff>133350</xdr:rowOff>
    </xdr:from>
    <xdr:to>
      <xdr:col>11</xdr:col>
      <xdr:colOff>400050</xdr:colOff>
      <xdr:row>44</xdr:row>
      <xdr:rowOff>95250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104775</xdr:colOff>
      <xdr:row>15</xdr:row>
      <xdr:rowOff>19050</xdr:rowOff>
    </xdr:from>
    <xdr:to>
      <xdr:col>11</xdr:col>
      <xdr:colOff>390525</xdr:colOff>
      <xdr:row>29</xdr:row>
      <xdr:rowOff>19050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152400</xdr:colOff>
      <xdr:row>2</xdr:row>
      <xdr:rowOff>28575</xdr:rowOff>
    </xdr:from>
    <xdr:to>
      <xdr:col>19</xdr:col>
      <xdr:colOff>438150</xdr:colOff>
      <xdr:row>16</xdr:row>
      <xdr:rowOff>104775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47625</xdr:colOff>
      <xdr:row>27</xdr:row>
      <xdr:rowOff>4762</xdr:rowOff>
    </xdr:from>
    <xdr:to>
      <xdr:col>14</xdr:col>
      <xdr:colOff>76200</xdr:colOff>
      <xdr:row>38</xdr:row>
      <xdr:rowOff>142875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2</xdr:row>
      <xdr:rowOff>180975</xdr:rowOff>
    </xdr:from>
    <xdr:to>
      <xdr:col>14</xdr:col>
      <xdr:colOff>66675</xdr:colOff>
      <xdr:row>14</xdr:row>
      <xdr:rowOff>171450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47624</xdr:colOff>
      <xdr:row>15</xdr:row>
      <xdr:rowOff>4763</xdr:rowOff>
    </xdr:from>
    <xdr:to>
      <xdr:col>14</xdr:col>
      <xdr:colOff>104774</xdr:colOff>
      <xdr:row>26</xdr:row>
      <xdr:rowOff>152401</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314325</xdr:colOff>
      <xdr:row>39</xdr:row>
      <xdr:rowOff>28575</xdr:rowOff>
    </xdr:from>
    <xdr:to>
      <xdr:col>20</xdr:col>
      <xdr:colOff>0</xdr:colOff>
      <xdr:row>54</xdr:row>
      <xdr:rowOff>142875</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304800</xdr:colOff>
      <xdr:row>55</xdr:row>
      <xdr:rowOff>9525</xdr:rowOff>
    </xdr:from>
    <xdr:to>
      <xdr:col>20</xdr:col>
      <xdr:colOff>152400</xdr:colOff>
      <xdr:row>71</xdr:row>
      <xdr:rowOff>9525</xdr:rowOff>
    </xdr:to>
    <xdr:graphicFrame macro="">
      <xdr:nvGraphicFramePr>
        <xdr:cNvPr id="7" name="Chart 6">
          <a:extLst>
            <a:ext uri="{FF2B5EF4-FFF2-40B4-BE49-F238E27FC236}">
              <a16:creationId xmlns:a16="http://schemas.microsoft.com/office/drawing/2014/main" id="{BAC5AE48-25C3-48C2-A4C5-C2BC3F7071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38101</xdr:colOff>
      <xdr:row>10</xdr:row>
      <xdr:rowOff>19050</xdr:rowOff>
    </xdr:from>
    <xdr:to>
      <xdr:col>16</xdr:col>
      <xdr:colOff>561975</xdr:colOff>
      <xdr:row>28</xdr:row>
      <xdr:rowOff>71693</xdr:rowOff>
    </xdr:to>
    <xdr:graphicFrame macro="">
      <xdr:nvGraphicFramePr>
        <xdr:cNvPr id="3" name="Chart 2">
          <a:extLst>
            <a:ext uri="{FF2B5EF4-FFF2-40B4-BE49-F238E27FC236}">
              <a16:creationId xmlns:a16="http://schemas.microsoft.com/office/drawing/2014/main" id="{1D261E62-313C-4DE1-8EB4-DAB945ABFF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102393</xdr:colOff>
      <xdr:row>21</xdr:row>
      <xdr:rowOff>40481</xdr:rowOff>
    </xdr:from>
    <xdr:to>
      <xdr:col>23</xdr:col>
      <xdr:colOff>535781</xdr:colOff>
      <xdr:row>43</xdr:row>
      <xdr:rowOff>126206</xdr:rowOff>
    </xdr:to>
    <xdr:graphicFrame macro="">
      <xdr:nvGraphicFramePr>
        <xdr:cNvPr id="2" name="Chart 1">
          <a:extLst>
            <a:ext uri="{FF2B5EF4-FFF2-40B4-BE49-F238E27FC236}">
              <a16:creationId xmlns:a16="http://schemas.microsoft.com/office/drawing/2014/main" id="{6624CF31-FA42-475D-AD82-C894F42EA2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95249</xdr:colOff>
      <xdr:row>43</xdr:row>
      <xdr:rowOff>171450</xdr:rowOff>
    </xdr:from>
    <xdr:to>
      <xdr:col>23</xdr:col>
      <xdr:colOff>523875</xdr:colOff>
      <xdr:row>65</xdr:row>
      <xdr:rowOff>180975</xdr:rowOff>
    </xdr:to>
    <xdr:graphicFrame macro="">
      <xdr:nvGraphicFramePr>
        <xdr:cNvPr id="3" name="Chart 2">
          <a:extLst>
            <a:ext uri="{FF2B5EF4-FFF2-40B4-BE49-F238E27FC236}">
              <a16:creationId xmlns:a16="http://schemas.microsoft.com/office/drawing/2014/main" id="{8AB0EBD9-10DA-45AC-AC18-2148ED6E47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95249</xdr:colOff>
      <xdr:row>66</xdr:row>
      <xdr:rowOff>76200</xdr:rowOff>
    </xdr:from>
    <xdr:to>
      <xdr:col>23</xdr:col>
      <xdr:colOff>523875</xdr:colOff>
      <xdr:row>89</xdr:row>
      <xdr:rowOff>9525</xdr:rowOff>
    </xdr:to>
    <xdr:graphicFrame macro="">
      <xdr:nvGraphicFramePr>
        <xdr:cNvPr id="4" name="Chart 3">
          <a:extLst>
            <a:ext uri="{FF2B5EF4-FFF2-40B4-BE49-F238E27FC236}">
              <a16:creationId xmlns:a16="http://schemas.microsoft.com/office/drawing/2014/main" id="{92EB375D-C1D0-448F-AA01-253C2EA7A7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31"/>
  <sheetViews>
    <sheetView topLeftCell="A22" workbookViewId="0">
      <selection activeCell="A34" sqref="A34"/>
    </sheetView>
  </sheetViews>
  <sheetFormatPr defaultRowHeight="15" x14ac:dyDescent="0.25"/>
  <cols>
    <col min="1" max="1" width="136.7109375" customWidth="1"/>
  </cols>
  <sheetData>
    <row r="1" spans="1:1" ht="15.75" x14ac:dyDescent="0.25">
      <c r="A1" s="58" t="s">
        <v>76</v>
      </c>
    </row>
    <row r="2" spans="1:1" x14ac:dyDescent="0.25">
      <c r="A2" t="s">
        <v>205</v>
      </c>
    </row>
    <row r="4" spans="1:1" x14ac:dyDescent="0.25">
      <c r="A4" s="2" t="s">
        <v>115</v>
      </c>
    </row>
    <row r="5" spans="1:1" ht="45" x14ac:dyDescent="0.25">
      <c r="A5" s="59" t="s">
        <v>183</v>
      </c>
    </row>
    <row r="7" spans="1:1" x14ac:dyDescent="0.25">
      <c r="A7" s="2" t="s">
        <v>77</v>
      </c>
    </row>
    <row r="8" spans="1:1" ht="78" customHeight="1" x14ac:dyDescent="0.25">
      <c r="A8" s="59" t="s">
        <v>206</v>
      </c>
    </row>
    <row r="9" spans="1:1" x14ac:dyDescent="0.25">
      <c r="A9" s="2"/>
    </row>
    <row r="10" spans="1:1" x14ac:dyDescent="0.25">
      <c r="A10" s="46" t="s">
        <v>78</v>
      </c>
    </row>
    <row r="11" spans="1:1" ht="100.5" customHeight="1" x14ac:dyDescent="0.25">
      <c r="A11" s="22" t="s">
        <v>207</v>
      </c>
    </row>
    <row r="12" spans="1:1" ht="60.75" customHeight="1" x14ac:dyDescent="0.25">
      <c r="A12" s="22" t="s">
        <v>97</v>
      </c>
    </row>
    <row r="13" spans="1:1" x14ac:dyDescent="0.25">
      <c r="A13" s="22"/>
    </row>
    <row r="14" spans="1:1" x14ac:dyDescent="0.25">
      <c r="A14" s="47" t="s">
        <v>208</v>
      </c>
    </row>
    <row r="15" spans="1:1" ht="115.5" customHeight="1" x14ac:dyDescent="0.25">
      <c r="A15" s="32" t="s">
        <v>214</v>
      </c>
    </row>
    <row r="16" spans="1:1" ht="54" customHeight="1" x14ac:dyDescent="0.25">
      <c r="A16" s="32" t="s">
        <v>209</v>
      </c>
    </row>
    <row r="17" spans="1:1" ht="73.5" customHeight="1" x14ac:dyDescent="0.25">
      <c r="A17" s="32" t="s">
        <v>210</v>
      </c>
    </row>
    <row r="18" spans="1:1" ht="51.75" customHeight="1" x14ac:dyDescent="0.25">
      <c r="A18" s="32" t="s">
        <v>211</v>
      </c>
    </row>
    <row r="19" spans="1:1" ht="84" customHeight="1" x14ac:dyDescent="0.25">
      <c r="A19" s="32" t="s">
        <v>215</v>
      </c>
    </row>
    <row r="20" spans="1:1" ht="57.75" customHeight="1" x14ac:dyDescent="0.25">
      <c r="A20" s="32" t="s">
        <v>216</v>
      </c>
    </row>
    <row r="21" spans="1:1" ht="144" customHeight="1" x14ac:dyDescent="0.25">
      <c r="A21" s="32" t="s">
        <v>217</v>
      </c>
    </row>
    <row r="22" spans="1:1" x14ac:dyDescent="0.25">
      <c r="A22" s="32"/>
    </row>
    <row r="23" spans="1:1" x14ac:dyDescent="0.25">
      <c r="A23" s="46" t="s">
        <v>180</v>
      </c>
    </row>
    <row r="24" spans="1:1" ht="66.75" customHeight="1" x14ac:dyDescent="0.25">
      <c r="A24" s="130" t="s">
        <v>220</v>
      </c>
    </row>
    <row r="25" spans="1:1" s="131" customFormat="1" ht="65.25" customHeight="1" x14ac:dyDescent="0.25">
      <c r="A25" s="130" t="s">
        <v>221</v>
      </c>
    </row>
    <row r="26" spans="1:1" ht="18.75" customHeight="1" x14ac:dyDescent="0.25">
      <c r="A26" s="130"/>
    </row>
    <row r="27" spans="1:1" s="2" customFormat="1" ht="15" customHeight="1" x14ac:dyDescent="0.25">
      <c r="A27" s="47" t="s">
        <v>181</v>
      </c>
    </row>
    <row r="28" spans="1:1" ht="70.5" customHeight="1" x14ac:dyDescent="0.25">
      <c r="A28" s="32" t="s">
        <v>222</v>
      </c>
    </row>
    <row r="29" spans="1:1" ht="95.25" customHeight="1" x14ac:dyDescent="0.25">
      <c r="A29" s="32" t="s">
        <v>182</v>
      </c>
    </row>
    <row r="30" spans="1:1" ht="51.75" customHeight="1" x14ac:dyDescent="0.25">
      <c r="A30" s="32" t="s">
        <v>223</v>
      </c>
    </row>
    <row r="31" spans="1:1" s="131" customFormat="1" ht="87.75" customHeight="1" x14ac:dyDescent="0.25">
      <c r="A31" s="32" t="s">
        <v>225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38"/>
  <sheetViews>
    <sheetView workbookViewId="0">
      <selection activeCell="B9" sqref="B9"/>
    </sheetView>
  </sheetViews>
  <sheetFormatPr defaultRowHeight="15" x14ac:dyDescent="0.25"/>
  <cols>
    <col min="1" max="1" width="10.140625" customWidth="1"/>
  </cols>
  <sheetData>
    <row r="1" spans="1:20" x14ac:dyDescent="0.25">
      <c r="A1" s="2" t="s">
        <v>0</v>
      </c>
      <c r="C1" s="27" t="s">
        <v>161</v>
      </c>
    </row>
    <row r="2" spans="1:20" ht="18" x14ac:dyDescent="0.35">
      <c r="A2" t="s">
        <v>83</v>
      </c>
      <c r="N2" s="57" t="s">
        <v>96</v>
      </c>
      <c r="O2" s="18"/>
      <c r="P2" s="18"/>
      <c r="Q2" s="18"/>
      <c r="R2" s="18"/>
      <c r="S2" s="18"/>
      <c r="T2" s="19"/>
    </row>
    <row r="3" spans="1:20" ht="18.75" x14ac:dyDescent="0.35">
      <c r="A3" t="s">
        <v>79</v>
      </c>
      <c r="C3" t="s">
        <v>88</v>
      </c>
      <c r="N3" s="4"/>
      <c r="O3" s="14"/>
      <c r="P3" s="14"/>
      <c r="Q3" s="14"/>
      <c r="R3" s="14"/>
      <c r="S3" s="14"/>
      <c r="T3" s="61"/>
    </row>
    <row r="4" spans="1:20" ht="18" x14ac:dyDescent="0.35">
      <c r="A4" t="s">
        <v>80</v>
      </c>
      <c r="N4" s="4"/>
      <c r="O4" s="14"/>
      <c r="P4" s="14"/>
      <c r="Q4" s="14"/>
      <c r="R4" s="14"/>
      <c r="S4" s="14"/>
      <c r="T4" s="61"/>
    </row>
    <row r="5" spans="1:20" ht="18" x14ac:dyDescent="0.35">
      <c r="A5" t="s">
        <v>84</v>
      </c>
      <c r="J5">
        <v>0</v>
      </c>
      <c r="K5">
        <v>0</v>
      </c>
      <c r="N5" s="4"/>
      <c r="O5" s="14"/>
      <c r="P5" s="14"/>
      <c r="Q5" s="14"/>
      <c r="R5" s="14"/>
      <c r="S5" s="14"/>
      <c r="T5" s="61"/>
    </row>
    <row r="6" spans="1:20" ht="18" x14ac:dyDescent="0.35">
      <c r="A6" s="1" t="s">
        <v>30</v>
      </c>
      <c r="B6" s="36">
        <v>0.35</v>
      </c>
      <c r="C6" s="33">
        <v>0.44</v>
      </c>
      <c r="J6">
        <v>1</v>
      </c>
      <c r="K6">
        <v>1</v>
      </c>
      <c r="N6" s="4"/>
      <c r="O6" s="14"/>
      <c r="P6" s="14"/>
      <c r="Q6" s="14"/>
      <c r="R6" s="14"/>
      <c r="S6" s="14"/>
      <c r="T6" s="61"/>
    </row>
    <row r="7" spans="1:20" ht="18" x14ac:dyDescent="0.35">
      <c r="A7" s="1" t="s">
        <v>117</v>
      </c>
      <c r="B7" s="36">
        <v>0</v>
      </c>
      <c r="C7" s="41">
        <v>0</v>
      </c>
      <c r="D7" s="16"/>
      <c r="N7" s="4"/>
      <c r="O7" s="14"/>
      <c r="P7" s="14"/>
      <c r="Q7" s="14"/>
      <c r="R7" s="14"/>
      <c r="S7" s="14"/>
      <c r="T7" s="61"/>
    </row>
    <row r="8" spans="1:20" x14ac:dyDescent="0.25">
      <c r="A8" s="1" t="s">
        <v>28</v>
      </c>
      <c r="B8" s="36">
        <v>0</v>
      </c>
      <c r="C8" s="60">
        <v>-2.91</v>
      </c>
      <c r="D8" s="16"/>
      <c r="N8" s="4"/>
      <c r="O8" s="14"/>
      <c r="P8" s="14"/>
      <c r="Q8" s="14"/>
      <c r="R8" s="14"/>
      <c r="S8" s="14"/>
      <c r="T8" s="61"/>
    </row>
    <row r="9" spans="1:20" ht="18.75" x14ac:dyDescent="0.35">
      <c r="A9" s="1" t="s">
        <v>26</v>
      </c>
      <c r="B9" s="7">
        <f>(B7-B6+B8*B6-B8*B6^2)/(1-B6)</f>
        <v>-0.53846153846153844</v>
      </c>
      <c r="C9" s="17" t="s">
        <v>82</v>
      </c>
      <c r="D9" s="18"/>
      <c r="E9" s="19"/>
      <c r="N9" s="4"/>
      <c r="O9" s="14"/>
      <c r="P9" s="14"/>
      <c r="Q9" s="14"/>
      <c r="R9" s="14"/>
      <c r="S9" s="14"/>
      <c r="T9" s="61"/>
    </row>
    <row r="10" spans="1:20" ht="18.75" x14ac:dyDescent="0.35">
      <c r="A10" s="1" t="s">
        <v>27</v>
      </c>
      <c r="B10" s="7">
        <f>(B7-1+B8-B8*B6^2)/(B6-1)</f>
        <v>1.5384615384615383</v>
      </c>
      <c r="C10" s="5" t="s">
        <v>81</v>
      </c>
      <c r="D10" s="20"/>
      <c r="E10" s="21"/>
      <c r="N10" s="4"/>
      <c r="O10" s="14"/>
      <c r="P10" s="14"/>
      <c r="Q10" s="14"/>
      <c r="R10" s="14"/>
      <c r="S10" s="14"/>
      <c r="T10" s="61"/>
    </row>
    <row r="11" spans="1:20" x14ac:dyDescent="0.25">
      <c r="N11" s="4"/>
      <c r="O11" s="14"/>
      <c r="P11" s="14"/>
      <c r="Q11" s="14"/>
      <c r="R11" s="14"/>
      <c r="S11" s="14"/>
      <c r="T11" s="61"/>
    </row>
    <row r="12" spans="1:20" ht="18" x14ac:dyDescent="0.35">
      <c r="A12" s="3" t="s">
        <v>5</v>
      </c>
      <c r="B12" s="11" t="s">
        <v>85</v>
      </c>
      <c r="C12" s="11" t="s">
        <v>87</v>
      </c>
      <c r="D12" s="6" t="s">
        <v>86</v>
      </c>
      <c r="M12" s="15"/>
      <c r="N12" s="4"/>
      <c r="O12" s="14"/>
      <c r="P12" s="14"/>
      <c r="Q12" s="14"/>
      <c r="R12" s="14"/>
      <c r="S12" s="14"/>
      <c r="T12" s="61"/>
    </row>
    <row r="13" spans="1:20" x14ac:dyDescent="0.25">
      <c r="A13" s="4">
        <v>0.1</v>
      </c>
      <c r="B13" s="12">
        <f t="shared" ref="B13:B22" si="0">$B$9+$B$10*A13+$B$8*A13*A13</f>
        <v>-0.38461538461538458</v>
      </c>
      <c r="C13" s="12">
        <f t="shared" ref="C13:C22" si="1">B13/A13</f>
        <v>-3.8461538461538458</v>
      </c>
      <c r="D13" s="8">
        <f t="shared" ref="D13:D22" si="2">B$10+2*B$8*A13</f>
        <v>1.5384615384615383</v>
      </c>
      <c r="M13" s="12"/>
      <c r="N13" s="4"/>
      <c r="O13" s="14"/>
      <c r="P13" s="14"/>
      <c r="Q13" s="14"/>
      <c r="R13" s="14"/>
      <c r="S13" s="14"/>
      <c r="T13" s="61"/>
    </row>
    <row r="14" spans="1:20" x14ac:dyDescent="0.25">
      <c r="A14" s="4">
        <v>0.2</v>
      </c>
      <c r="B14" s="12">
        <f t="shared" si="0"/>
        <v>-0.23076923076923073</v>
      </c>
      <c r="C14" s="12">
        <f t="shared" si="1"/>
        <v>-1.1538461538461535</v>
      </c>
      <c r="D14" s="8">
        <f t="shared" si="2"/>
        <v>1.5384615384615383</v>
      </c>
      <c r="M14" s="12"/>
      <c r="N14" s="4"/>
      <c r="O14" s="14"/>
      <c r="P14" s="14"/>
      <c r="Q14" s="14"/>
      <c r="R14" s="14"/>
      <c r="S14" s="14"/>
      <c r="T14" s="61"/>
    </row>
    <row r="15" spans="1:20" x14ac:dyDescent="0.25">
      <c r="A15" s="4">
        <v>0.3</v>
      </c>
      <c r="B15" s="12">
        <f t="shared" si="0"/>
        <v>-7.6923076923076983E-2</v>
      </c>
      <c r="C15" s="12">
        <f t="shared" si="1"/>
        <v>-0.25641025641025661</v>
      </c>
      <c r="D15" s="8">
        <f t="shared" si="2"/>
        <v>1.5384615384615383</v>
      </c>
      <c r="M15" s="12"/>
      <c r="N15" s="4"/>
      <c r="O15" s="14"/>
      <c r="P15" s="14"/>
      <c r="Q15" s="14"/>
      <c r="R15" s="14"/>
      <c r="S15" s="14"/>
      <c r="T15" s="61"/>
    </row>
    <row r="16" spans="1:20" x14ac:dyDescent="0.25">
      <c r="A16" s="4">
        <v>0.4</v>
      </c>
      <c r="B16" s="12">
        <f t="shared" si="0"/>
        <v>7.6923076923076983E-2</v>
      </c>
      <c r="C16" s="12">
        <f t="shared" si="1"/>
        <v>0.19230769230769246</v>
      </c>
      <c r="D16" s="8">
        <f t="shared" si="2"/>
        <v>1.5384615384615383</v>
      </c>
      <c r="M16" s="12"/>
      <c r="N16" s="4"/>
      <c r="O16" s="14"/>
      <c r="P16" s="14"/>
      <c r="Q16" s="14"/>
      <c r="R16" s="14"/>
      <c r="S16" s="14"/>
      <c r="T16" s="61"/>
    </row>
    <row r="17" spans="1:20" x14ac:dyDescent="0.25">
      <c r="A17" s="4">
        <v>0.5</v>
      </c>
      <c r="B17" s="12">
        <f t="shared" si="0"/>
        <v>0.23076923076923073</v>
      </c>
      <c r="C17" s="12">
        <f t="shared" si="1"/>
        <v>0.46153846153846145</v>
      </c>
      <c r="D17" s="8">
        <f t="shared" si="2"/>
        <v>1.5384615384615383</v>
      </c>
      <c r="M17" s="12"/>
      <c r="N17" s="4"/>
      <c r="O17" s="14"/>
      <c r="P17" s="14"/>
      <c r="Q17" s="14"/>
      <c r="R17" s="14"/>
      <c r="S17" s="14"/>
      <c r="T17" s="61"/>
    </row>
    <row r="18" spans="1:20" ht="18" x14ac:dyDescent="0.35">
      <c r="A18" s="4">
        <v>0.6</v>
      </c>
      <c r="B18" s="12">
        <f t="shared" si="0"/>
        <v>0.38461538461538447</v>
      </c>
      <c r="C18" s="12">
        <f t="shared" si="1"/>
        <v>0.64102564102564086</v>
      </c>
      <c r="D18" s="8">
        <f t="shared" si="2"/>
        <v>1.5384615384615383</v>
      </c>
      <c r="M18" s="12"/>
      <c r="N18" s="3" t="s">
        <v>35</v>
      </c>
      <c r="O18" s="19">
        <v>1</v>
      </c>
      <c r="P18" s="3" t="s">
        <v>35</v>
      </c>
      <c r="Q18" s="19">
        <v>1</v>
      </c>
      <c r="R18" s="3" t="s">
        <v>35</v>
      </c>
      <c r="S18" s="19">
        <v>1</v>
      </c>
      <c r="T18" s="61"/>
    </row>
    <row r="19" spans="1:20" ht="18" x14ac:dyDescent="0.35">
      <c r="A19" s="4">
        <v>0.7</v>
      </c>
      <c r="B19" s="12">
        <f t="shared" si="0"/>
        <v>0.53846153846153821</v>
      </c>
      <c r="C19" s="12">
        <f t="shared" si="1"/>
        <v>0.76923076923076894</v>
      </c>
      <c r="D19" s="8">
        <f t="shared" si="2"/>
        <v>1.5384615384615383</v>
      </c>
      <c r="M19" s="12"/>
      <c r="N19" s="23" t="s">
        <v>29</v>
      </c>
      <c r="O19" s="34">
        <v>0.35</v>
      </c>
      <c r="P19" s="23" t="s">
        <v>29</v>
      </c>
      <c r="Q19" s="34">
        <v>0.35</v>
      </c>
      <c r="R19" s="23" t="s">
        <v>29</v>
      </c>
      <c r="S19" s="34">
        <v>0.35</v>
      </c>
      <c r="T19" s="61"/>
    </row>
    <row r="20" spans="1:20" x14ac:dyDescent="0.25">
      <c r="A20" s="4">
        <v>0.8</v>
      </c>
      <c r="B20" s="12">
        <f t="shared" si="0"/>
        <v>0.6923076923076924</v>
      </c>
      <c r="C20" s="12">
        <f t="shared" si="1"/>
        <v>0.86538461538461542</v>
      </c>
      <c r="D20" s="8">
        <f t="shared" si="2"/>
        <v>1.5384615384615383</v>
      </c>
      <c r="M20" s="12"/>
      <c r="N20" s="23" t="s">
        <v>28</v>
      </c>
      <c r="O20" s="34">
        <v>0</v>
      </c>
      <c r="P20" s="23" t="s">
        <v>28</v>
      </c>
      <c r="Q20" s="34">
        <v>-1</v>
      </c>
      <c r="R20" s="23" t="s">
        <v>28</v>
      </c>
      <c r="S20" s="34">
        <v>-2</v>
      </c>
      <c r="T20" s="61"/>
    </row>
    <row r="21" spans="1:20" x14ac:dyDescent="0.25">
      <c r="A21" s="4">
        <v>0.9</v>
      </c>
      <c r="B21" s="12">
        <f t="shared" si="0"/>
        <v>0.84615384615384615</v>
      </c>
      <c r="C21" s="12">
        <f t="shared" si="1"/>
        <v>0.94017094017094016</v>
      </c>
      <c r="D21" s="8">
        <f t="shared" si="2"/>
        <v>1.5384615384615383</v>
      </c>
      <c r="M21" s="12"/>
      <c r="N21" s="23" t="s">
        <v>27</v>
      </c>
      <c r="O21" s="8">
        <f>(1-(1-O19^2)*O20)/(1-O19)</f>
        <v>1.5384615384615383</v>
      </c>
      <c r="P21" s="23" t="s">
        <v>27</v>
      </c>
      <c r="Q21" s="8">
        <f>(1-(1-Q19^2)*Q20)/(1-Q19)</f>
        <v>2.8884615384615384</v>
      </c>
      <c r="R21" s="23" t="s">
        <v>27</v>
      </c>
      <c r="S21" s="8">
        <f>(1-(1-S19^2)*S20)/(1-S19)</f>
        <v>4.2384615384615385</v>
      </c>
      <c r="T21" s="61"/>
    </row>
    <row r="22" spans="1:20" x14ac:dyDescent="0.25">
      <c r="A22" s="5">
        <v>1</v>
      </c>
      <c r="B22" s="13">
        <f t="shared" si="0"/>
        <v>0.99999999999999989</v>
      </c>
      <c r="C22" s="13">
        <f t="shared" si="1"/>
        <v>0.99999999999999989</v>
      </c>
      <c r="D22" s="9">
        <f t="shared" si="2"/>
        <v>1.5384615384615383</v>
      </c>
      <c r="M22" s="12"/>
      <c r="N22" s="23" t="s">
        <v>26</v>
      </c>
      <c r="O22" s="8">
        <f>O19*(O20-1-O20*O19)/(1-O19)</f>
        <v>-0.53846153846153844</v>
      </c>
      <c r="P22" s="23" t="s">
        <v>26</v>
      </c>
      <c r="Q22" s="8">
        <f>Q19*(Q20-1-Q20*Q19)/(1-Q19)</f>
        <v>-0.8884615384615383</v>
      </c>
      <c r="R22" s="23" t="s">
        <v>26</v>
      </c>
      <c r="S22" s="8">
        <f>S19*(S20-1-S20*S19)/(1-S19)</f>
        <v>-1.2384615384615383</v>
      </c>
      <c r="T22" s="61"/>
    </row>
    <row r="23" spans="1:20" x14ac:dyDescent="0.25">
      <c r="N23" s="5"/>
      <c r="O23" s="21" t="s">
        <v>72</v>
      </c>
      <c r="P23" s="5"/>
      <c r="Q23" s="21" t="s">
        <v>73</v>
      </c>
      <c r="R23" s="5"/>
      <c r="S23" s="21" t="s">
        <v>74</v>
      </c>
      <c r="T23" s="61"/>
    </row>
    <row r="24" spans="1:20" ht="18" x14ac:dyDescent="0.35">
      <c r="A24" t="s">
        <v>90</v>
      </c>
      <c r="N24" s="3" t="s">
        <v>2</v>
      </c>
      <c r="O24" s="6" t="s">
        <v>3</v>
      </c>
      <c r="P24" s="3" t="s">
        <v>2</v>
      </c>
      <c r="Q24" s="6" t="s">
        <v>3</v>
      </c>
      <c r="R24" s="3" t="s">
        <v>2</v>
      </c>
      <c r="S24" s="6" t="s">
        <v>3</v>
      </c>
      <c r="T24" s="61"/>
    </row>
    <row r="25" spans="1:20" ht="18" x14ac:dyDescent="0.35">
      <c r="A25" t="s">
        <v>89</v>
      </c>
      <c r="N25" s="4">
        <v>0.1</v>
      </c>
      <c r="O25" s="8">
        <f t="shared" ref="O25:O34" si="3">$O$22+$O$21*N25+$O$20*N25*N25</f>
        <v>-0.38461538461538458</v>
      </c>
      <c r="P25" s="4">
        <v>0.1</v>
      </c>
      <c r="Q25" s="8">
        <f t="shared" ref="Q25:Q34" si="4">$Q$22+$Q$21*P25+$Q$20*P25*P25</f>
        <v>-0.60961538461538445</v>
      </c>
      <c r="R25" s="4">
        <v>0.1</v>
      </c>
      <c r="S25" s="8">
        <f t="shared" ref="S25:S34" si="5">$S$22+$S$21*R25+$S$20*R25*R25</f>
        <v>-0.83461538461538443</v>
      </c>
      <c r="T25" s="61"/>
    </row>
    <row r="26" spans="1:20" ht="18" x14ac:dyDescent="0.35">
      <c r="A26" t="s">
        <v>91</v>
      </c>
      <c r="N26" s="4">
        <v>0.2</v>
      </c>
      <c r="O26" s="8">
        <f t="shared" si="3"/>
        <v>-0.23076923076923073</v>
      </c>
      <c r="P26" s="4">
        <v>0.2</v>
      </c>
      <c r="Q26" s="8">
        <f t="shared" si="4"/>
        <v>-0.35076923076923061</v>
      </c>
      <c r="R26" s="4">
        <v>0.2</v>
      </c>
      <c r="S26" s="8">
        <f t="shared" si="5"/>
        <v>-0.47076923076923055</v>
      </c>
      <c r="T26" s="61"/>
    </row>
    <row r="27" spans="1:20" x14ac:dyDescent="0.25">
      <c r="A27" t="s">
        <v>11</v>
      </c>
      <c r="B27" t="s">
        <v>32</v>
      </c>
      <c r="C27" s="14"/>
      <c r="N27" s="4">
        <v>0.3</v>
      </c>
      <c r="O27" s="8">
        <f t="shared" si="3"/>
        <v>-7.6923076923076983E-2</v>
      </c>
      <c r="P27" s="4">
        <v>0.3</v>
      </c>
      <c r="Q27" s="8">
        <f t="shared" si="4"/>
        <v>-0.11192307692307682</v>
      </c>
      <c r="R27" s="4">
        <v>0.3</v>
      </c>
      <c r="S27" s="8">
        <f t="shared" si="5"/>
        <v>-0.14692307692307677</v>
      </c>
      <c r="T27" s="61"/>
    </row>
    <row r="28" spans="1:20" x14ac:dyDescent="0.25">
      <c r="A28" t="s">
        <v>9</v>
      </c>
      <c r="B28" t="s">
        <v>33</v>
      </c>
      <c r="N28" s="4">
        <v>0.4</v>
      </c>
      <c r="O28" s="8">
        <f t="shared" si="3"/>
        <v>7.6923076923076983E-2</v>
      </c>
      <c r="P28" s="4">
        <v>0.4</v>
      </c>
      <c r="Q28" s="8">
        <f t="shared" si="4"/>
        <v>0.10692307692307712</v>
      </c>
      <c r="R28" s="4">
        <v>0.4</v>
      </c>
      <c r="S28" s="8">
        <f t="shared" si="5"/>
        <v>0.13692307692307715</v>
      </c>
      <c r="T28" s="61"/>
    </row>
    <row r="29" spans="1:20" x14ac:dyDescent="0.25">
      <c r="B29" s="1" t="s">
        <v>5</v>
      </c>
      <c r="C29" s="15" t="s">
        <v>3</v>
      </c>
      <c r="D29" s="1" t="s">
        <v>4</v>
      </c>
      <c r="E29" s="1" t="s">
        <v>7</v>
      </c>
      <c r="N29" s="4">
        <v>0.5</v>
      </c>
      <c r="O29" s="8">
        <f t="shared" si="3"/>
        <v>0.23076923076923073</v>
      </c>
      <c r="P29" s="4">
        <v>0.5</v>
      </c>
      <c r="Q29" s="8">
        <f t="shared" si="4"/>
        <v>0.3057692307692309</v>
      </c>
      <c r="R29" s="4">
        <v>0.5</v>
      </c>
      <c r="S29" s="8">
        <f t="shared" si="5"/>
        <v>0.38076923076923097</v>
      </c>
      <c r="T29" s="61"/>
    </row>
    <row r="30" spans="1:20" x14ac:dyDescent="0.25">
      <c r="A30" t="s">
        <v>8</v>
      </c>
      <c r="B30" s="7" t="e">
        <f>(-(B10-1)+SQRT((B10-1)^2-4*B8*B9))/(2*B8)</f>
        <v>#DIV/0!</v>
      </c>
      <c r="C30" s="12" t="e">
        <f>$B$9+$B$10*B30+$B$8*B30*B30</f>
        <v>#DIV/0!</v>
      </c>
      <c r="D30" s="7" t="e">
        <f>B$10+2*B$8*B30</f>
        <v>#DIV/0!</v>
      </c>
      <c r="E30" s="7" t="e">
        <f>C30/B30</f>
        <v>#DIV/0!</v>
      </c>
      <c r="N30" s="4">
        <v>0.6</v>
      </c>
      <c r="O30" s="8">
        <f t="shared" si="3"/>
        <v>0.38461538461538447</v>
      </c>
      <c r="P30" s="4">
        <v>0.6</v>
      </c>
      <c r="Q30" s="8">
        <f t="shared" si="4"/>
        <v>0.48461538461538467</v>
      </c>
      <c r="R30" s="4">
        <v>0.6</v>
      </c>
      <c r="S30" s="8">
        <f t="shared" si="5"/>
        <v>0.58461538461538476</v>
      </c>
      <c r="T30" s="61"/>
    </row>
    <row r="31" spans="1:20" x14ac:dyDescent="0.25">
      <c r="A31" t="s">
        <v>9</v>
      </c>
      <c r="B31" s="7" t="e">
        <f>SQRT(B9/B8)</f>
        <v>#DIV/0!</v>
      </c>
      <c r="C31" s="12" t="e">
        <f>$B$9+$B$10*B31+$B$8*B31*B31</f>
        <v>#DIV/0!</v>
      </c>
      <c r="D31" s="7" t="e">
        <f>B$10+2*B$8*B31</f>
        <v>#DIV/0!</v>
      </c>
      <c r="E31" s="7" t="e">
        <f>C31/B31</f>
        <v>#DIV/0!</v>
      </c>
      <c r="N31" s="4">
        <v>0.7</v>
      </c>
      <c r="O31" s="8">
        <f t="shared" si="3"/>
        <v>0.53846153846153821</v>
      </c>
      <c r="P31" s="14">
        <v>0.7</v>
      </c>
      <c r="Q31" s="8">
        <f t="shared" si="4"/>
        <v>0.64346153846153853</v>
      </c>
      <c r="R31" s="14">
        <v>0.7</v>
      </c>
      <c r="S31" s="8">
        <f t="shared" si="5"/>
        <v>0.74846153846153862</v>
      </c>
      <c r="T31" s="61"/>
    </row>
    <row r="32" spans="1:20" x14ac:dyDescent="0.25">
      <c r="A32" t="s">
        <v>10</v>
      </c>
      <c r="B32">
        <v>1</v>
      </c>
      <c r="C32" s="12">
        <f>$B$9+$B$10*B32+$B$8*B32*B32</f>
        <v>0.99999999999999989</v>
      </c>
      <c r="D32" s="7">
        <f>B$10+2*B$8*B32</f>
        <v>1.5384615384615383</v>
      </c>
      <c r="E32" s="7">
        <f>C32/B32</f>
        <v>0.99999999999999989</v>
      </c>
      <c r="N32" s="4">
        <v>0.8</v>
      </c>
      <c r="O32" s="8">
        <f t="shared" si="3"/>
        <v>0.6923076923076924</v>
      </c>
      <c r="P32" s="4">
        <v>0.8</v>
      </c>
      <c r="Q32" s="8">
        <f t="shared" si="4"/>
        <v>0.78230769230769237</v>
      </c>
      <c r="R32" s="4">
        <v>0.8</v>
      </c>
      <c r="S32" s="8">
        <f t="shared" si="5"/>
        <v>0.87230769230769223</v>
      </c>
      <c r="T32" s="61"/>
    </row>
    <row r="33" spans="1:20" x14ac:dyDescent="0.25">
      <c r="A33" t="s">
        <v>34</v>
      </c>
      <c r="B33" s="10">
        <f>-B6/(1-2*B6+B6*B6)</f>
        <v>-0.82840236686390523</v>
      </c>
      <c r="N33" s="4">
        <v>0.9</v>
      </c>
      <c r="O33" s="8">
        <f t="shared" si="3"/>
        <v>0.84615384615384615</v>
      </c>
      <c r="P33" s="4">
        <v>0.9</v>
      </c>
      <c r="Q33" s="8">
        <f t="shared" si="4"/>
        <v>0.90115384615384597</v>
      </c>
      <c r="R33" s="4">
        <v>0.9</v>
      </c>
      <c r="S33" s="8">
        <f t="shared" si="5"/>
        <v>0.95615384615384613</v>
      </c>
      <c r="T33" s="61"/>
    </row>
    <row r="34" spans="1:20" x14ac:dyDescent="0.25">
      <c r="N34" s="5">
        <v>1</v>
      </c>
      <c r="O34" s="9">
        <f t="shared" si="3"/>
        <v>0.99999999999999989</v>
      </c>
      <c r="P34" s="5">
        <v>1</v>
      </c>
      <c r="Q34" s="9">
        <f t="shared" si="4"/>
        <v>1</v>
      </c>
      <c r="R34" s="5">
        <v>1</v>
      </c>
      <c r="S34" s="9">
        <f t="shared" si="5"/>
        <v>1</v>
      </c>
      <c r="T34" s="61"/>
    </row>
    <row r="35" spans="1:20" ht="18" x14ac:dyDescent="0.35">
      <c r="A35" s="57" t="s">
        <v>95</v>
      </c>
      <c r="B35" s="18"/>
      <c r="C35" s="18"/>
      <c r="D35" s="18"/>
      <c r="E35" s="19"/>
      <c r="N35" s="5"/>
      <c r="O35" s="20"/>
      <c r="P35" s="20"/>
      <c r="Q35" s="20"/>
      <c r="R35" s="20"/>
      <c r="S35" s="20"/>
      <c r="T35" s="21"/>
    </row>
    <row r="36" spans="1:20" ht="18.75" x14ac:dyDescent="0.35">
      <c r="A36" s="4" t="s">
        <v>92</v>
      </c>
      <c r="B36" s="14"/>
      <c r="C36" s="14"/>
      <c r="D36" s="14"/>
      <c r="E36" s="61"/>
    </row>
    <row r="37" spans="1:20" ht="18.75" x14ac:dyDescent="0.35">
      <c r="A37" s="4" t="s">
        <v>93</v>
      </c>
      <c r="B37" s="14"/>
      <c r="C37" s="14"/>
      <c r="D37" s="14"/>
      <c r="E37" s="61"/>
    </row>
    <row r="38" spans="1:20" ht="18.75" x14ac:dyDescent="0.35">
      <c r="A38" s="5" t="s">
        <v>94</v>
      </c>
      <c r="B38" s="20"/>
      <c r="C38" s="20"/>
      <c r="D38" s="20"/>
      <c r="E38" s="21"/>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91"/>
  <sheetViews>
    <sheetView workbookViewId="0">
      <selection activeCell="J70" sqref="J70"/>
    </sheetView>
  </sheetViews>
  <sheetFormatPr defaultRowHeight="15" x14ac:dyDescent="0.25"/>
  <cols>
    <col min="1" max="1" width="10.140625" customWidth="1"/>
    <col min="2" max="2" width="9.85546875" customWidth="1"/>
    <col min="4" max="4" width="8" customWidth="1"/>
    <col min="5" max="5" width="8.140625" customWidth="1"/>
    <col min="6" max="7" width="6.42578125" customWidth="1"/>
    <col min="8" max="8" width="6.7109375" customWidth="1"/>
    <col min="9" max="12" width="7" customWidth="1"/>
    <col min="13" max="14" width="6.85546875" customWidth="1"/>
    <col min="15" max="17" width="7" customWidth="1"/>
    <col min="18" max="20" width="8" customWidth="1"/>
  </cols>
  <sheetData>
    <row r="1" spans="1:15" ht="17.25" x14ac:dyDescent="0.25">
      <c r="A1" s="2" t="s">
        <v>60</v>
      </c>
      <c r="G1" s="27" t="s">
        <v>63</v>
      </c>
    </row>
    <row r="2" spans="1:15" x14ac:dyDescent="0.25">
      <c r="A2" s="27" t="s">
        <v>160</v>
      </c>
    </row>
    <row r="3" spans="1:15" x14ac:dyDescent="0.25">
      <c r="A3" s="27"/>
    </row>
    <row r="4" spans="1:15" x14ac:dyDescent="0.25">
      <c r="A4" s="2" t="s">
        <v>39</v>
      </c>
    </row>
    <row r="5" spans="1:15" x14ac:dyDescent="0.25">
      <c r="A5" t="s">
        <v>1</v>
      </c>
    </row>
    <row r="6" spans="1:15" ht="17.25" x14ac:dyDescent="0.25">
      <c r="A6" t="s">
        <v>99</v>
      </c>
      <c r="D6" t="s">
        <v>14</v>
      </c>
    </row>
    <row r="7" spans="1:15" ht="18" x14ac:dyDescent="0.35">
      <c r="A7" t="s">
        <v>44</v>
      </c>
      <c r="F7" s="15"/>
      <c r="G7" s="15"/>
    </row>
    <row r="8" spans="1:15" ht="18" x14ac:dyDescent="0.35">
      <c r="A8" t="s">
        <v>43</v>
      </c>
      <c r="D8" t="s">
        <v>19</v>
      </c>
      <c r="F8" s="15"/>
      <c r="G8" s="12"/>
    </row>
    <row r="9" spans="1:15" ht="18" x14ac:dyDescent="0.35">
      <c r="A9" s="1" t="s">
        <v>45</v>
      </c>
      <c r="B9" s="36">
        <v>0.7</v>
      </c>
      <c r="D9" s="62">
        <v>0.6</v>
      </c>
      <c r="F9" s="14"/>
      <c r="G9" s="12"/>
    </row>
    <row r="10" spans="1:15" ht="18" x14ac:dyDescent="0.35">
      <c r="A10" s="1" t="s">
        <v>46</v>
      </c>
      <c r="B10" s="36">
        <v>0.5</v>
      </c>
      <c r="D10" s="63">
        <v>0.3</v>
      </c>
      <c r="F10" s="14"/>
      <c r="G10" s="12"/>
    </row>
    <row r="11" spans="1:15" x14ac:dyDescent="0.25">
      <c r="A11" s="1" t="s">
        <v>40</v>
      </c>
      <c r="B11" s="36">
        <v>-1</v>
      </c>
      <c r="D11" s="63">
        <v>-1</v>
      </c>
      <c r="F11" s="14"/>
      <c r="G11" s="12"/>
    </row>
    <row r="12" spans="1:15" ht="18.75" x14ac:dyDescent="0.35">
      <c r="A12" s="1" t="s">
        <v>41</v>
      </c>
      <c r="B12" s="7">
        <f>(B9-1-B11*(1-B10*B10))/(1-B10)</f>
        <v>0.89999999999999991</v>
      </c>
      <c r="C12" s="14" t="s">
        <v>47</v>
      </c>
      <c r="D12" s="14"/>
      <c r="E12" s="14"/>
      <c r="F12" s="14"/>
      <c r="G12" s="12"/>
    </row>
    <row r="13" spans="1:15" ht="18" x14ac:dyDescent="0.35">
      <c r="A13" s="1" t="s">
        <v>42</v>
      </c>
      <c r="B13" s="7">
        <f>B9-B12-B11</f>
        <v>0.8</v>
      </c>
      <c r="C13" s="14" t="s">
        <v>48</v>
      </c>
      <c r="D13" s="14"/>
      <c r="E13" s="14"/>
      <c r="F13" s="14"/>
      <c r="G13" s="12"/>
    </row>
    <row r="14" spans="1:15" x14ac:dyDescent="0.25">
      <c r="A14" s="1"/>
      <c r="B14" s="7"/>
      <c r="C14" s="14"/>
      <c r="D14" s="14"/>
      <c r="E14" s="14"/>
      <c r="F14" s="14"/>
      <c r="G14" s="12"/>
    </row>
    <row r="15" spans="1:15" x14ac:dyDescent="0.25">
      <c r="F15" s="14"/>
      <c r="G15" s="12"/>
    </row>
    <row r="16" spans="1:15" x14ac:dyDescent="0.25">
      <c r="A16" s="2" t="s">
        <v>12</v>
      </c>
      <c r="F16" s="14"/>
      <c r="G16" s="12"/>
      <c r="O16" s="15"/>
    </row>
    <row r="17" spans="1:15" x14ac:dyDescent="0.25">
      <c r="A17" t="s">
        <v>1</v>
      </c>
      <c r="F17" s="14"/>
      <c r="G17" s="12"/>
      <c r="O17" s="15"/>
    </row>
    <row r="18" spans="1:15" ht="17.25" x14ac:dyDescent="0.25">
      <c r="A18" t="s">
        <v>98</v>
      </c>
      <c r="F18" s="14"/>
      <c r="G18" s="12"/>
      <c r="O18" s="12"/>
    </row>
    <row r="19" spans="1:15" ht="18" x14ac:dyDescent="0.35">
      <c r="A19" t="s">
        <v>49</v>
      </c>
      <c r="F19" s="14"/>
      <c r="G19" s="12"/>
      <c r="M19" s="12"/>
      <c r="N19" s="12"/>
      <c r="O19" s="12"/>
    </row>
    <row r="20" spans="1:15" x14ac:dyDescent="0.25">
      <c r="A20" t="s">
        <v>55</v>
      </c>
      <c r="D20" t="s">
        <v>19</v>
      </c>
      <c r="F20" s="14"/>
      <c r="G20" s="14"/>
      <c r="M20" s="12"/>
      <c r="N20" s="12"/>
      <c r="O20" s="12"/>
    </row>
    <row r="21" spans="1:15" ht="18" x14ac:dyDescent="0.35">
      <c r="A21" s="1" t="s">
        <v>50</v>
      </c>
      <c r="B21" s="36">
        <v>0.4</v>
      </c>
      <c r="D21" s="62">
        <v>0</v>
      </c>
      <c r="F21" s="14"/>
      <c r="G21" s="14"/>
    </row>
    <row r="22" spans="1:15" ht="18" x14ac:dyDescent="0.35">
      <c r="A22" s="1" t="s">
        <v>51</v>
      </c>
      <c r="B22" s="36">
        <v>0.5</v>
      </c>
      <c r="D22" s="63">
        <v>0.5</v>
      </c>
      <c r="F22" s="14"/>
      <c r="G22" s="14"/>
    </row>
    <row r="23" spans="1:15" x14ac:dyDescent="0.25">
      <c r="A23" s="1" t="s">
        <v>52</v>
      </c>
      <c r="B23" s="36">
        <v>-2</v>
      </c>
      <c r="D23" s="63">
        <v>-2</v>
      </c>
      <c r="F23" s="14"/>
      <c r="G23" s="14"/>
    </row>
    <row r="24" spans="1:15" ht="18.75" x14ac:dyDescent="0.35">
      <c r="A24" s="1" t="s">
        <v>53</v>
      </c>
      <c r="B24" s="7">
        <f>(B21-1-B23*(1-B22*B22))/(1-B22)</f>
        <v>1.8</v>
      </c>
      <c r="C24" s="14" t="s">
        <v>57</v>
      </c>
      <c r="D24" s="14"/>
      <c r="E24" s="14"/>
      <c r="F24" s="15"/>
      <c r="G24" s="15"/>
    </row>
    <row r="25" spans="1:15" x14ac:dyDescent="0.25">
      <c r="A25" s="1" t="s">
        <v>54</v>
      </c>
      <c r="B25" s="7">
        <f>B21-B24-B23</f>
        <v>0.60000000000000009</v>
      </c>
      <c r="C25" s="14" t="s">
        <v>56</v>
      </c>
      <c r="D25" s="14"/>
      <c r="E25" s="14"/>
      <c r="F25" s="15"/>
      <c r="G25" s="12"/>
    </row>
    <row r="26" spans="1:15" x14ac:dyDescent="0.25">
      <c r="A26" s="1"/>
      <c r="B26" s="7"/>
      <c r="C26" s="14"/>
      <c r="D26" s="14"/>
      <c r="E26" s="14"/>
      <c r="F26" s="15"/>
      <c r="G26" s="12"/>
    </row>
    <row r="27" spans="1:15" x14ac:dyDescent="0.25">
      <c r="F27" s="14"/>
      <c r="G27" s="12"/>
    </row>
    <row r="28" spans="1:15" x14ac:dyDescent="0.25">
      <c r="A28" s="2" t="s">
        <v>13</v>
      </c>
      <c r="F28" s="14"/>
      <c r="G28" s="12"/>
    </row>
    <row r="29" spans="1:15" x14ac:dyDescent="0.25">
      <c r="A29" t="s">
        <v>1</v>
      </c>
      <c r="F29" s="14"/>
      <c r="G29" s="12"/>
    </row>
    <row r="30" spans="1:15" ht="17.25" x14ac:dyDescent="0.25">
      <c r="A30" t="s">
        <v>100</v>
      </c>
      <c r="F30" s="14"/>
      <c r="G30" s="12"/>
    </row>
    <row r="31" spans="1:15" x14ac:dyDescent="0.25">
      <c r="A31" t="s">
        <v>70</v>
      </c>
      <c r="F31" s="14"/>
      <c r="G31" s="12"/>
    </row>
    <row r="32" spans="1:15" x14ac:dyDescent="0.25">
      <c r="A32" t="s">
        <v>25</v>
      </c>
      <c r="D32" t="s">
        <v>19</v>
      </c>
      <c r="F32" s="14"/>
      <c r="G32" s="12"/>
    </row>
    <row r="33" spans="1:14" x14ac:dyDescent="0.25">
      <c r="A33" s="1" t="s">
        <v>24</v>
      </c>
      <c r="B33" s="36">
        <v>0.75</v>
      </c>
      <c r="D33" s="62">
        <v>0.6</v>
      </c>
      <c r="F33" s="14"/>
      <c r="G33" s="12"/>
    </row>
    <row r="34" spans="1:14" x14ac:dyDescent="0.25">
      <c r="A34" s="1" t="s">
        <v>71</v>
      </c>
      <c r="B34" s="36">
        <v>0.5</v>
      </c>
      <c r="D34" s="63">
        <v>0.3</v>
      </c>
      <c r="F34" s="14"/>
      <c r="G34" s="12"/>
    </row>
    <row r="35" spans="1:14" x14ac:dyDescent="0.25">
      <c r="A35" s="1" t="s">
        <v>36</v>
      </c>
      <c r="B35" s="36">
        <v>-0.5</v>
      </c>
      <c r="D35" s="63">
        <v>-0.5</v>
      </c>
      <c r="F35" s="14"/>
      <c r="G35" s="12"/>
    </row>
    <row r="36" spans="1:14" ht="18.75" x14ac:dyDescent="0.35">
      <c r="A36" s="1" t="s">
        <v>38</v>
      </c>
      <c r="B36" s="7">
        <f>(B33-1-B35*(1-B34*B34))/(1-B34)</f>
        <v>0.25</v>
      </c>
      <c r="C36" s="14" t="s">
        <v>58</v>
      </c>
      <c r="D36" s="14"/>
      <c r="E36" s="14"/>
      <c r="F36" s="14"/>
      <c r="G36" s="12"/>
      <c r="M36" s="12"/>
      <c r="N36" s="12"/>
    </row>
    <row r="37" spans="1:14" ht="18" x14ac:dyDescent="0.35">
      <c r="A37" s="1" t="s">
        <v>37</v>
      </c>
      <c r="B37" s="7">
        <f>B33-B36-B35</f>
        <v>1</v>
      </c>
      <c r="C37" s="14" t="s">
        <v>59</v>
      </c>
      <c r="D37" s="14"/>
      <c r="E37" s="14"/>
      <c r="F37" s="14"/>
      <c r="G37" s="14"/>
      <c r="M37" s="12"/>
      <c r="N37" s="12"/>
    </row>
    <row r="38" spans="1:14" x14ac:dyDescent="0.25">
      <c r="A38" s="1"/>
      <c r="B38" s="7"/>
      <c r="C38" s="14"/>
      <c r="D38" s="14"/>
      <c r="E38" s="14"/>
      <c r="F38" s="14"/>
      <c r="G38" s="14"/>
      <c r="M38" s="12"/>
      <c r="N38" s="12"/>
    </row>
    <row r="39" spans="1:14" x14ac:dyDescent="0.25">
      <c r="F39" s="14"/>
      <c r="G39" s="14"/>
    </row>
    <row r="40" spans="1:14" ht="18" x14ac:dyDescent="0.35">
      <c r="A40" s="48" t="s">
        <v>105</v>
      </c>
      <c r="B40" s="14"/>
      <c r="C40" s="14"/>
      <c r="D40" s="14"/>
      <c r="E40" s="14"/>
      <c r="F40" s="14"/>
      <c r="G40" s="14"/>
      <c r="H40" s="14"/>
    </row>
    <row r="41" spans="1:14" ht="18" x14ac:dyDescent="0.35">
      <c r="A41" s="48" t="s">
        <v>213</v>
      </c>
      <c r="B41" s="14"/>
      <c r="C41" s="14"/>
      <c r="D41" s="14"/>
      <c r="E41" s="14"/>
      <c r="F41" s="14"/>
      <c r="G41" s="14"/>
      <c r="H41" s="14"/>
    </row>
    <row r="42" spans="1:14" ht="18" x14ac:dyDescent="0.35">
      <c r="A42" s="48" t="s">
        <v>103</v>
      </c>
      <c r="B42" s="14"/>
      <c r="C42" s="14"/>
      <c r="D42" s="14"/>
      <c r="E42" s="14"/>
      <c r="F42" s="14"/>
      <c r="G42" s="14"/>
      <c r="H42" s="14"/>
    </row>
    <row r="43" spans="1:14" x14ac:dyDescent="0.25">
      <c r="A43" s="49" t="s">
        <v>101</v>
      </c>
      <c r="B43" s="147">
        <v>300</v>
      </c>
      <c r="C43" s="14" t="s">
        <v>15</v>
      </c>
      <c r="D43" s="14"/>
      <c r="E43" s="14"/>
      <c r="F43" s="14"/>
      <c r="G43" s="14"/>
      <c r="H43" s="14"/>
    </row>
    <row r="44" spans="1:14" x14ac:dyDescent="0.25">
      <c r="A44" s="49" t="s">
        <v>102</v>
      </c>
      <c r="B44" s="147">
        <v>75</v>
      </c>
      <c r="C44" s="14" t="s">
        <v>15</v>
      </c>
      <c r="D44" s="14"/>
      <c r="E44" s="14"/>
      <c r="F44" s="14"/>
      <c r="G44" s="14"/>
      <c r="H44" s="14"/>
    </row>
    <row r="45" spans="1:14" x14ac:dyDescent="0.25">
      <c r="A45" s="49" t="s">
        <v>212</v>
      </c>
      <c r="B45" s="148">
        <v>630</v>
      </c>
      <c r="C45" s="14" t="s">
        <v>15</v>
      </c>
      <c r="D45" s="14"/>
      <c r="E45" s="14"/>
      <c r="F45" s="14"/>
      <c r="G45" s="14"/>
      <c r="H45" s="14"/>
    </row>
    <row r="46" spans="1:14" ht="18" x14ac:dyDescent="0.35">
      <c r="A46" s="67" t="s">
        <v>5</v>
      </c>
      <c r="B46" s="68" t="s">
        <v>16</v>
      </c>
      <c r="C46" s="69" t="s">
        <v>114</v>
      </c>
      <c r="D46" s="69" t="s">
        <v>75</v>
      </c>
      <c r="E46" s="68" t="s">
        <v>61</v>
      </c>
      <c r="F46" s="69" t="s">
        <v>18</v>
      </c>
      <c r="G46" s="68" t="s">
        <v>62</v>
      </c>
      <c r="H46" s="70" t="s">
        <v>104</v>
      </c>
      <c r="I46" s="69" t="s">
        <v>17</v>
      </c>
      <c r="J46" s="70" t="s">
        <v>151</v>
      </c>
      <c r="K46" s="149" t="s">
        <v>116</v>
      </c>
    </row>
    <row r="47" spans="1:14" x14ac:dyDescent="0.25">
      <c r="A47" s="66">
        <v>1</v>
      </c>
      <c r="B47" s="30">
        <f t="shared" ref="B47:B63" si="0">A47*B$45</f>
        <v>630</v>
      </c>
      <c r="C47" s="12">
        <f>A47*A47*'WPF Model'!B$8+A47*'WPF Model'!B$10+'WPF Model'!B$9</f>
        <v>0.99999999999999989</v>
      </c>
      <c r="D47" s="12">
        <f>IF(A47&lt;+B$10,1,A47*A47*B$11+A47*B$12+B$13)</f>
        <v>0.7</v>
      </c>
      <c r="E47" s="30">
        <f t="shared" ref="E47:E63" si="1">D47*B$43</f>
        <v>210</v>
      </c>
      <c r="F47" s="12">
        <f t="shared" ref="F47:F67" si="2">IF(A47&lt;+B$22,1,A47*A47*B$23+A47*B$24+B$25)</f>
        <v>0.40000000000000013</v>
      </c>
      <c r="G47" s="30">
        <f>B$44*F47</f>
        <v>30.000000000000011</v>
      </c>
      <c r="H47" s="30">
        <f>B47-D47*B$43-F47*B$44</f>
        <v>390</v>
      </c>
      <c r="I47" s="12">
        <f t="shared" ref="I47:I67" si="3">IF(A47&lt;=B$34,1,A47*A47*B$35+A47*B$36+B$37)</f>
        <v>0.75</v>
      </c>
      <c r="J47" s="30">
        <f t="shared" ref="J47:J63" si="4">H47/I47</f>
        <v>520</v>
      </c>
      <c r="K47" s="24">
        <f>J47+B$44+B$43</f>
        <v>895</v>
      </c>
    </row>
    <row r="48" spans="1:14" x14ac:dyDescent="0.25">
      <c r="A48" s="66">
        <f>A47-0.05</f>
        <v>0.95</v>
      </c>
      <c r="B48" s="30">
        <f t="shared" si="0"/>
        <v>598.5</v>
      </c>
      <c r="C48" s="12">
        <f>A48*A48*'WPF Model'!B$8+A48*'WPF Model'!B$10+'WPF Model'!B$9</f>
        <v>0.9230769230769228</v>
      </c>
      <c r="D48" s="12">
        <f t="shared" ref="D48:D67" si="5">IF(A48&lt;+B$10,1,A48*A48*B$11+A48*B$12+B$13)</f>
        <v>0.75249999999999995</v>
      </c>
      <c r="E48" s="30">
        <f t="shared" si="1"/>
        <v>225.74999999999997</v>
      </c>
      <c r="F48" s="12">
        <f t="shared" si="2"/>
        <v>0.50500000000000012</v>
      </c>
      <c r="G48" s="30">
        <f t="shared" ref="G48:G63" si="6">B$44*F48</f>
        <v>37.875000000000007</v>
      </c>
      <c r="H48" s="30">
        <f t="shared" ref="H48:H63" si="7">B48-D48*B$43-F48*B$44</f>
        <v>334.875</v>
      </c>
      <c r="I48" s="12">
        <f t="shared" si="3"/>
        <v>0.78625</v>
      </c>
      <c r="J48" s="30">
        <f t="shared" si="4"/>
        <v>425.9141494435612</v>
      </c>
      <c r="K48" s="24">
        <f t="shared" ref="K48:K67" si="8">J48+B$44+B$43</f>
        <v>800.9141494435612</v>
      </c>
    </row>
    <row r="49" spans="1:11" x14ac:dyDescent="0.25">
      <c r="A49" s="66">
        <f t="shared" ref="A49:A67" si="9">A48-0.05</f>
        <v>0.89999999999999991</v>
      </c>
      <c r="B49" s="30">
        <f t="shared" si="0"/>
        <v>567</v>
      </c>
      <c r="C49" s="12">
        <f>A49*A49*'WPF Model'!B$8+A49*'WPF Model'!B$10+'WPF Model'!B$9</f>
        <v>0.84615384615384592</v>
      </c>
      <c r="D49" s="12">
        <f t="shared" si="5"/>
        <v>0.8</v>
      </c>
      <c r="E49" s="30">
        <f t="shared" si="1"/>
        <v>240</v>
      </c>
      <c r="F49" s="12">
        <f t="shared" si="2"/>
        <v>0.60000000000000031</v>
      </c>
      <c r="G49" s="30">
        <f t="shared" si="6"/>
        <v>45.000000000000021</v>
      </c>
      <c r="H49" s="30">
        <f t="shared" si="7"/>
        <v>282</v>
      </c>
      <c r="I49" s="12">
        <f t="shared" si="3"/>
        <v>0.82000000000000006</v>
      </c>
      <c r="J49" s="30">
        <f t="shared" si="4"/>
        <v>343.90243902439022</v>
      </c>
      <c r="K49" s="24">
        <f t="shared" si="8"/>
        <v>718.90243902439022</v>
      </c>
    </row>
    <row r="50" spans="1:11" x14ac:dyDescent="0.25">
      <c r="A50" s="66">
        <f t="shared" si="9"/>
        <v>0.84999999999999987</v>
      </c>
      <c r="B50" s="30">
        <f t="shared" si="0"/>
        <v>535.49999999999989</v>
      </c>
      <c r="C50" s="12">
        <f>A50*A50*'WPF Model'!B$8+A50*'WPF Model'!B$10+'WPF Model'!B$9</f>
        <v>0.76923076923076883</v>
      </c>
      <c r="D50" s="12">
        <f t="shared" si="5"/>
        <v>0.84250000000000003</v>
      </c>
      <c r="E50" s="30">
        <f t="shared" si="1"/>
        <v>252.75</v>
      </c>
      <c r="F50" s="12">
        <f t="shared" si="2"/>
        <v>0.68500000000000028</v>
      </c>
      <c r="G50" s="30">
        <f t="shared" si="6"/>
        <v>51.375000000000021</v>
      </c>
      <c r="H50" s="30">
        <f t="shared" si="7"/>
        <v>231.37499999999986</v>
      </c>
      <c r="I50" s="12">
        <f t="shared" si="3"/>
        <v>0.85125000000000006</v>
      </c>
      <c r="J50" s="30">
        <f t="shared" si="4"/>
        <v>271.8061674008809</v>
      </c>
      <c r="K50" s="24">
        <f t="shared" si="8"/>
        <v>646.8061674008809</v>
      </c>
    </row>
    <row r="51" spans="1:11" x14ac:dyDescent="0.25">
      <c r="A51" s="66">
        <f t="shared" si="9"/>
        <v>0.79999999999999982</v>
      </c>
      <c r="B51" s="30">
        <f t="shared" si="0"/>
        <v>503.99999999999989</v>
      </c>
      <c r="C51" s="12">
        <f>A51*A51*'WPF Model'!B$8+A51*'WPF Model'!B$10+'WPF Model'!B$9</f>
        <v>0.69230769230769196</v>
      </c>
      <c r="D51" s="12">
        <f t="shared" si="5"/>
        <v>0.88000000000000012</v>
      </c>
      <c r="E51" s="30">
        <f t="shared" si="1"/>
        <v>264.00000000000006</v>
      </c>
      <c r="F51" s="12">
        <f t="shared" si="2"/>
        <v>0.76000000000000045</v>
      </c>
      <c r="G51" s="30">
        <f t="shared" si="6"/>
        <v>57.000000000000036</v>
      </c>
      <c r="H51" s="30">
        <f t="shared" si="7"/>
        <v>182.9999999999998</v>
      </c>
      <c r="I51" s="12">
        <f t="shared" si="3"/>
        <v>0.88000000000000012</v>
      </c>
      <c r="J51" s="30">
        <f t="shared" si="4"/>
        <v>207.95454545454521</v>
      </c>
      <c r="K51" s="24">
        <f t="shared" si="8"/>
        <v>582.95454545454527</v>
      </c>
    </row>
    <row r="52" spans="1:11" x14ac:dyDescent="0.25">
      <c r="A52" s="66">
        <f t="shared" si="9"/>
        <v>0.74999999999999978</v>
      </c>
      <c r="B52" s="30">
        <f t="shared" si="0"/>
        <v>472.49999999999989</v>
      </c>
      <c r="C52" s="12">
        <f>A52*A52*'WPF Model'!B$8+A52*'WPF Model'!B$10+'WPF Model'!B$9</f>
        <v>0.61538461538461486</v>
      </c>
      <c r="D52" s="12">
        <f t="shared" si="5"/>
        <v>0.91250000000000009</v>
      </c>
      <c r="E52" s="30">
        <f t="shared" si="1"/>
        <v>273.75</v>
      </c>
      <c r="F52" s="12">
        <f t="shared" si="2"/>
        <v>0.8250000000000004</v>
      </c>
      <c r="G52" s="30">
        <f t="shared" si="6"/>
        <v>61.875000000000028</v>
      </c>
      <c r="H52" s="30">
        <f t="shared" si="7"/>
        <v>136.87499999999986</v>
      </c>
      <c r="I52" s="12">
        <f t="shared" si="3"/>
        <v>0.90625000000000011</v>
      </c>
      <c r="J52" s="30">
        <f t="shared" si="4"/>
        <v>151.03448275862053</v>
      </c>
      <c r="K52" s="24">
        <f t="shared" si="8"/>
        <v>526.03448275862047</v>
      </c>
    </row>
    <row r="53" spans="1:11" x14ac:dyDescent="0.25">
      <c r="A53" s="66">
        <f t="shared" si="9"/>
        <v>0.69999999999999973</v>
      </c>
      <c r="B53" s="30">
        <f t="shared" si="0"/>
        <v>440.99999999999983</v>
      </c>
      <c r="C53" s="12">
        <f>A53*A53*'WPF Model'!B$8+A53*'WPF Model'!B$10+'WPF Model'!B$9</f>
        <v>0.53846153846153799</v>
      </c>
      <c r="D53" s="12">
        <f t="shared" si="5"/>
        <v>0.94000000000000017</v>
      </c>
      <c r="E53" s="30">
        <f t="shared" si="1"/>
        <v>282.00000000000006</v>
      </c>
      <c r="F53" s="12">
        <f t="shared" si="2"/>
        <v>0.88000000000000045</v>
      </c>
      <c r="G53" s="30">
        <f t="shared" si="6"/>
        <v>66.000000000000028</v>
      </c>
      <c r="H53" s="30">
        <f t="shared" si="7"/>
        <v>92.999999999999744</v>
      </c>
      <c r="I53" s="12">
        <f t="shared" si="3"/>
        <v>0.93000000000000016</v>
      </c>
      <c r="J53" s="30">
        <f t="shared" si="4"/>
        <v>99.999999999999702</v>
      </c>
      <c r="K53" s="24">
        <f t="shared" si="8"/>
        <v>474.99999999999972</v>
      </c>
    </row>
    <row r="54" spans="1:11" x14ac:dyDescent="0.25">
      <c r="A54" s="66">
        <f t="shared" si="9"/>
        <v>0.64999999999999969</v>
      </c>
      <c r="B54" s="30">
        <f t="shared" si="0"/>
        <v>409.49999999999983</v>
      </c>
      <c r="C54" s="12">
        <f>A54*A54*'WPF Model'!B$8+A54*'WPF Model'!B$10+'WPF Model'!B$9</f>
        <v>0.46153846153846101</v>
      </c>
      <c r="D54" s="12">
        <f t="shared" si="5"/>
        <v>0.96250000000000013</v>
      </c>
      <c r="E54" s="30">
        <f t="shared" si="1"/>
        <v>288.75000000000006</v>
      </c>
      <c r="F54" s="12">
        <f t="shared" si="2"/>
        <v>0.92500000000000038</v>
      </c>
      <c r="G54" s="30">
        <f t="shared" si="6"/>
        <v>69.375000000000028</v>
      </c>
      <c r="H54" s="30">
        <f t="shared" si="7"/>
        <v>51.374999999999744</v>
      </c>
      <c r="I54" s="12">
        <f t="shared" si="3"/>
        <v>0.95125000000000015</v>
      </c>
      <c r="J54" s="30">
        <f t="shared" si="4"/>
        <v>54.007884362680407</v>
      </c>
      <c r="K54" s="24">
        <f t="shared" si="8"/>
        <v>429.00788436268044</v>
      </c>
    </row>
    <row r="55" spans="1:11" x14ac:dyDescent="0.25">
      <c r="A55" s="66">
        <f t="shared" si="9"/>
        <v>0.59999999999999964</v>
      </c>
      <c r="B55" s="30">
        <f t="shared" si="0"/>
        <v>377.99999999999977</v>
      </c>
      <c r="C55" s="12">
        <f>A55*A55*'WPF Model'!B$8+A55*'WPF Model'!B$10+'WPF Model'!B$9</f>
        <v>0.38461538461538403</v>
      </c>
      <c r="D55" s="12">
        <f t="shared" si="5"/>
        <v>0.98</v>
      </c>
      <c r="E55" s="30">
        <f t="shared" si="1"/>
        <v>294</v>
      </c>
      <c r="F55" s="12">
        <f t="shared" si="2"/>
        <v>0.9600000000000003</v>
      </c>
      <c r="G55" s="30">
        <f t="shared" si="6"/>
        <v>72.000000000000028</v>
      </c>
      <c r="H55" s="30">
        <f t="shared" si="7"/>
        <v>11.999999999999744</v>
      </c>
      <c r="I55" s="12">
        <f t="shared" si="3"/>
        <v>0.97000000000000008</v>
      </c>
      <c r="J55" s="30">
        <f t="shared" si="4"/>
        <v>12.371134020618292</v>
      </c>
      <c r="K55" s="24">
        <f t="shared" si="8"/>
        <v>387.37113402061829</v>
      </c>
    </row>
    <row r="56" spans="1:11" x14ac:dyDescent="0.25">
      <c r="A56" s="66">
        <f t="shared" si="9"/>
        <v>0.5499999999999996</v>
      </c>
      <c r="B56" s="30">
        <f t="shared" si="0"/>
        <v>346.49999999999977</v>
      </c>
      <c r="C56" s="12">
        <f>A56*A56*'WPF Model'!B$8+A56*'WPF Model'!B$10+'WPF Model'!B$9</f>
        <v>0.30769230769230704</v>
      </c>
      <c r="D56" s="12">
        <f t="shared" si="5"/>
        <v>0.99250000000000016</v>
      </c>
      <c r="E56" s="30">
        <f t="shared" si="1"/>
        <v>297.75000000000006</v>
      </c>
      <c r="F56" s="12">
        <f t="shared" si="2"/>
        <v>0.98500000000000032</v>
      </c>
      <c r="G56" s="30">
        <f t="shared" si="6"/>
        <v>73.875000000000028</v>
      </c>
      <c r="H56" s="30">
        <f t="shared" si="7"/>
        <v>-25.125000000000313</v>
      </c>
      <c r="I56" s="12">
        <f t="shared" si="3"/>
        <v>0.98625000000000007</v>
      </c>
      <c r="J56" s="30">
        <f t="shared" si="4"/>
        <v>-25.475285171102978</v>
      </c>
      <c r="K56" s="24">
        <f t="shared" si="8"/>
        <v>349.524714828897</v>
      </c>
    </row>
    <row r="57" spans="1:11" x14ac:dyDescent="0.25">
      <c r="A57" s="66">
        <f t="shared" si="9"/>
        <v>0.49999999999999961</v>
      </c>
      <c r="B57" s="30">
        <f t="shared" si="0"/>
        <v>314.99999999999977</v>
      </c>
      <c r="C57" s="12">
        <f>A57*A57*'WPF Model'!B$8+A57*'WPF Model'!B$10+'WPF Model'!B$9</f>
        <v>0.23076923076923017</v>
      </c>
      <c r="D57" s="12">
        <f t="shared" si="5"/>
        <v>1</v>
      </c>
      <c r="E57" s="30">
        <f t="shared" si="1"/>
        <v>300</v>
      </c>
      <c r="F57" s="12">
        <f t="shared" si="2"/>
        <v>1.0000000000000002</v>
      </c>
      <c r="G57" s="30">
        <f t="shared" si="6"/>
        <v>75.000000000000014</v>
      </c>
      <c r="H57" s="30">
        <f t="shared" si="7"/>
        <v>-60.000000000000242</v>
      </c>
      <c r="I57" s="12">
        <f t="shared" si="3"/>
        <v>1</v>
      </c>
      <c r="J57" s="30">
        <f t="shared" si="4"/>
        <v>-60.000000000000242</v>
      </c>
      <c r="K57" s="24">
        <f t="shared" si="8"/>
        <v>314.99999999999977</v>
      </c>
    </row>
    <row r="58" spans="1:11" x14ac:dyDescent="0.25">
      <c r="A58" s="66">
        <f t="shared" si="9"/>
        <v>0.44999999999999962</v>
      </c>
      <c r="B58" s="30">
        <f t="shared" si="0"/>
        <v>283.49999999999977</v>
      </c>
      <c r="C58" s="12">
        <f>A58*A58*'WPF Model'!B$8+A58*'WPF Model'!B$10+'WPF Model'!B$9</f>
        <v>0.15384615384615319</v>
      </c>
      <c r="D58" s="12">
        <f t="shared" si="5"/>
        <v>1</v>
      </c>
      <c r="E58" s="30">
        <f t="shared" si="1"/>
        <v>300</v>
      </c>
      <c r="F58" s="12">
        <f t="shared" si="2"/>
        <v>1</v>
      </c>
      <c r="G58" s="30">
        <f t="shared" si="6"/>
        <v>75</v>
      </c>
      <c r="H58" s="30">
        <f t="shared" si="7"/>
        <v>-91.500000000000227</v>
      </c>
      <c r="I58" s="12">
        <f t="shared" si="3"/>
        <v>1</v>
      </c>
      <c r="J58" s="30">
        <f t="shared" si="4"/>
        <v>-91.500000000000227</v>
      </c>
      <c r="K58" s="24">
        <f t="shared" si="8"/>
        <v>283.49999999999977</v>
      </c>
    </row>
    <row r="59" spans="1:11" x14ac:dyDescent="0.25">
      <c r="A59" s="66">
        <f t="shared" si="9"/>
        <v>0.39999999999999963</v>
      </c>
      <c r="B59" s="30">
        <f t="shared" si="0"/>
        <v>251.99999999999977</v>
      </c>
      <c r="C59" s="12">
        <f>A59*A59*'WPF Model'!B$8+A59*'WPF Model'!B$10+'WPF Model'!B$9</f>
        <v>7.6923076923076317E-2</v>
      </c>
      <c r="D59" s="12">
        <f t="shared" si="5"/>
        <v>1</v>
      </c>
      <c r="E59" s="30">
        <f t="shared" si="1"/>
        <v>300</v>
      </c>
      <c r="F59" s="12">
        <f t="shared" si="2"/>
        <v>1</v>
      </c>
      <c r="G59" s="30">
        <f t="shared" si="6"/>
        <v>75</v>
      </c>
      <c r="H59" s="30">
        <f t="shared" si="7"/>
        <v>-123.00000000000023</v>
      </c>
      <c r="I59" s="12">
        <f t="shared" si="3"/>
        <v>1</v>
      </c>
      <c r="J59" s="30">
        <f t="shared" si="4"/>
        <v>-123.00000000000023</v>
      </c>
      <c r="K59" s="24">
        <f t="shared" si="8"/>
        <v>251.99999999999977</v>
      </c>
    </row>
    <row r="60" spans="1:11" x14ac:dyDescent="0.25">
      <c r="A60" s="66">
        <f t="shared" si="9"/>
        <v>0.34999999999999964</v>
      </c>
      <c r="B60" s="30">
        <f t="shared" si="0"/>
        <v>220.49999999999977</v>
      </c>
      <c r="C60" s="12">
        <f>A60*A60*'WPF Model'!B$8+A60*'WPF Model'!B$10+'WPF Model'!B$9</f>
        <v>0</v>
      </c>
      <c r="D60" s="12">
        <f t="shared" si="5"/>
        <v>1</v>
      </c>
      <c r="E60" s="30">
        <f t="shared" si="1"/>
        <v>300</v>
      </c>
      <c r="F60" s="12">
        <f t="shared" si="2"/>
        <v>1</v>
      </c>
      <c r="G60" s="30">
        <f t="shared" si="6"/>
        <v>75</v>
      </c>
      <c r="H60" s="30">
        <f t="shared" si="7"/>
        <v>-154.50000000000023</v>
      </c>
      <c r="I60" s="12">
        <f t="shared" si="3"/>
        <v>1</v>
      </c>
      <c r="J60" s="30">
        <f t="shared" si="4"/>
        <v>-154.50000000000023</v>
      </c>
      <c r="K60" s="24">
        <f t="shared" si="8"/>
        <v>220.49999999999977</v>
      </c>
    </row>
    <row r="61" spans="1:11" x14ac:dyDescent="0.25">
      <c r="A61" s="66">
        <f t="shared" si="9"/>
        <v>0.29999999999999966</v>
      </c>
      <c r="B61" s="30">
        <f t="shared" si="0"/>
        <v>188.99999999999977</v>
      </c>
      <c r="C61" s="12">
        <f>A61*A61*'WPF Model'!B$8+A61*'WPF Model'!B$10+'WPF Model'!B$9</f>
        <v>-7.6923076923077482E-2</v>
      </c>
      <c r="D61" s="12">
        <f t="shared" si="5"/>
        <v>1</v>
      </c>
      <c r="E61" s="30">
        <f t="shared" si="1"/>
        <v>300</v>
      </c>
      <c r="F61" s="12">
        <f t="shared" si="2"/>
        <v>1</v>
      </c>
      <c r="G61" s="30">
        <f t="shared" si="6"/>
        <v>75</v>
      </c>
      <c r="H61" s="30">
        <f t="shared" si="7"/>
        <v>-186.00000000000023</v>
      </c>
      <c r="I61" s="12">
        <f t="shared" si="3"/>
        <v>1</v>
      </c>
      <c r="J61" s="30">
        <f t="shared" si="4"/>
        <v>-186.00000000000023</v>
      </c>
      <c r="K61" s="24">
        <f t="shared" si="8"/>
        <v>188.99999999999977</v>
      </c>
    </row>
    <row r="62" spans="1:11" x14ac:dyDescent="0.25">
      <c r="A62" s="66">
        <f t="shared" si="9"/>
        <v>0.24999999999999967</v>
      </c>
      <c r="B62" s="30">
        <f t="shared" si="0"/>
        <v>157.4999999999998</v>
      </c>
      <c r="C62" s="12">
        <f>A62*A62*'WPF Model'!B$8+A62*'WPF Model'!B$10+'WPF Model'!B$9</f>
        <v>-0.15384615384615435</v>
      </c>
      <c r="D62" s="12">
        <f t="shared" si="5"/>
        <v>1</v>
      </c>
      <c r="E62" s="30">
        <f t="shared" si="1"/>
        <v>300</v>
      </c>
      <c r="F62" s="12">
        <f t="shared" si="2"/>
        <v>1</v>
      </c>
      <c r="G62" s="30">
        <f t="shared" si="6"/>
        <v>75</v>
      </c>
      <c r="H62" s="30">
        <f t="shared" si="7"/>
        <v>-217.5000000000002</v>
      </c>
      <c r="I62" s="12">
        <f t="shared" si="3"/>
        <v>1</v>
      </c>
      <c r="J62" s="30">
        <f t="shared" si="4"/>
        <v>-217.5000000000002</v>
      </c>
      <c r="K62" s="24">
        <f t="shared" si="8"/>
        <v>157.4999999999998</v>
      </c>
    </row>
    <row r="63" spans="1:11" x14ac:dyDescent="0.25">
      <c r="A63" s="66">
        <f t="shared" si="9"/>
        <v>0.19999999999999968</v>
      </c>
      <c r="B63" s="30">
        <f t="shared" si="0"/>
        <v>125.9999999999998</v>
      </c>
      <c r="C63" s="12">
        <f>A63*A63*'WPF Model'!B$8+A63*'WPF Model'!B$10+'WPF Model'!B$9</f>
        <v>-0.23076923076923128</v>
      </c>
      <c r="D63" s="12">
        <f t="shared" si="5"/>
        <v>1</v>
      </c>
      <c r="E63" s="30">
        <f t="shared" si="1"/>
        <v>300</v>
      </c>
      <c r="F63" s="12">
        <f t="shared" si="2"/>
        <v>1</v>
      </c>
      <c r="G63" s="30">
        <f t="shared" si="6"/>
        <v>75</v>
      </c>
      <c r="H63" s="30">
        <f t="shared" si="7"/>
        <v>-249.0000000000002</v>
      </c>
      <c r="I63" s="12">
        <f t="shared" si="3"/>
        <v>1</v>
      </c>
      <c r="J63" s="30">
        <f t="shared" si="4"/>
        <v>-249.0000000000002</v>
      </c>
      <c r="K63" s="24">
        <f t="shared" si="8"/>
        <v>125.9999999999998</v>
      </c>
    </row>
    <row r="64" spans="1:11" x14ac:dyDescent="0.25">
      <c r="A64" s="66">
        <f t="shared" si="9"/>
        <v>0.14999999999999969</v>
      </c>
      <c r="B64" s="30">
        <f t="shared" ref="B64:B67" si="10">A64*B$45</f>
        <v>94.499999999999801</v>
      </c>
      <c r="C64" s="12">
        <f>A64*A64*'WPF Model'!B$8+A64*'WPF Model'!B$10+'WPF Model'!B$9</f>
        <v>-0.30769230769230815</v>
      </c>
      <c r="D64" s="12">
        <f t="shared" si="5"/>
        <v>1</v>
      </c>
      <c r="E64" s="30">
        <f t="shared" ref="E64:E67" si="11">D64*B$43</f>
        <v>300</v>
      </c>
      <c r="F64" s="12">
        <f t="shared" si="2"/>
        <v>1</v>
      </c>
      <c r="G64" s="30">
        <f t="shared" ref="G64:G67" si="12">B$44*F64</f>
        <v>75</v>
      </c>
      <c r="H64" s="30">
        <f t="shared" ref="H64:H67" si="13">B64-D64*B$43-F64*B$44</f>
        <v>-280.50000000000023</v>
      </c>
      <c r="I64" s="12">
        <f t="shared" si="3"/>
        <v>1</v>
      </c>
      <c r="J64" s="30">
        <f t="shared" ref="J64:J67" si="14">H64/I64</f>
        <v>-280.50000000000023</v>
      </c>
      <c r="K64" s="24">
        <f t="shared" si="8"/>
        <v>94.499999999999773</v>
      </c>
    </row>
    <row r="65" spans="1:12" x14ac:dyDescent="0.25">
      <c r="A65" s="66">
        <f t="shared" si="9"/>
        <v>9.9999999999999686E-2</v>
      </c>
      <c r="B65" s="30">
        <f t="shared" si="10"/>
        <v>62.999999999999801</v>
      </c>
      <c r="C65" s="12">
        <f>A65*A65*'WPF Model'!B$8+A65*'WPF Model'!B$10+'WPF Model'!B$9</f>
        <v>-0.38461538461538508</v>
      </c>
      <c r="D65" s="12">
        <f t="shared" si="5"/>
        <v>1</v>
      </c>
      <c r="E65" s="30">
        <f t="shared" si="11"/>
        <v>300</v>
      </c>
      <c r="F65" s="12">
        <f t="shared" si="2"/>
        <v>1</v>
      </c>
      <c r="G65" s="30">
        <f t="shared" si="12"/>
        <v>75</v>
      </c>
      <c r="H65" s="30">
        <f t="shared" si="13"/>
        <v>-312.00000000000023</v>
      </c>
      <c r="I65" s="12">
        <f t="shared" si="3"/>
        <v>1</v>
      </c>
      <c r="J65" s="30">
        <f t="shared" si="14"/>
        <v>-312.00000000000023</v>
      </c>
      <c r="K65" s="24">
        <f t="shared" si="8"/>
        <v>62.999999999999773</v>
      </c>
    </row>
    <row r="66" spans="1:12" x14ac:dyDescent="0.25">
      <c r="A66" s="66">
        <f t="shared" si="9"/>
        <v>4.9999999999999684E-2</v>
      </c>
      <c r="B66" s="30">
        <f t="shared" si="10"/>
        <v>31.499999999999801</v>
      </c>
      <c r="C66" s="12">
        <f>A66*A66*'WPF Model'!B$8+A66*'WPF Model'!B$10+'WPF Model'!B$9</f>
        <v>-0.46153846153846201</v>
      </c>
      <c r="D66" s="12">
        <f t="shared" si="5"/>
        <v>1</v>
      </c>
      <c r="E66" s="30">
        <f t="shared" si="11"/>
        <v>300</v>
      </c>
      <c r="F66" s="12">
        <f t="shared" si="2"/>
        <v>1</v>
      </c>
      <c r="G66" s="30">
        <f t="shared" si="12"/>
        <v>75</v>
      </c>
      <c r="H66" s="30">
        <f t="shared" si="13"/>
        <v>-343.50000000000023</v>
      </c>
      <c r="I66" s="12">
        <f t="shared" si="3"/>
        <v>1</v>
      </c>
      <c r="J66" s="30">
        <f t="shared" si="14"/>
        <v>-343.50000000000023</v>
      </c>
      <c r="K66" s="24">
        <f t="shared" si="8"/>
        <v>31.499999999999773</v>
      </c>
    </row>
    <row r="67" spans="1:12" x14ac:dyDescent="0.25">
      <c r="A67" s="65">
        <f t="shared" si="9"/>
        <v>-3.1918911957973251E-16</v>
      </c>
      <c r="B67" s="31">
        <f t="shared" si="10"/>
        <v>-2.0108914533523148E-13</v>
      </c>
      <c r="C67" s="13">
        <f>A67*A67*'WPF Model'!B$8+A67*'WPF Model'!B$10+'WPF Model'!B$9</f>
        <v>-0.53846153846153888</v>
      </c>
      <c r="D67" s="13">
        <f t="shared" si="5"/>
        <v>1</v>
      </c>
      <c r="E67" s="31">
        <f t="shared" si="11"/>
        <v>300</v>
      </c>
      <c r="F67" s="13">
        <f t="shared" si="2"/>
        <v>1</v>
      </c>
      <c r="G67" s="31">
        <f t="shared" si="12"/>
        <v>75</v>
      </c>
      <c r="H67" s="31">
        <f t="shared" si="13"/>
        <v>-375.00000000000023</v>
      </c>
      <c r="I67" s="13">
        <f t="shared" si="3"/>
        <v>1</v>
      </c>
      <c r="J67" s="31">
        <f t="shared" si="14"/>
        <v>-375.00000000000023</v>
      </c>
      <c r="K67" s="26">
        <f t="shared" si="8"/>
        <v>0</v>
      </c>
    </row>
    <row r="69" spans="1:12" x14ac:dyDescent="0.25">
      <c r="A69" s="2" t="s">
        <v>197</v>
      </c>
    </row>
    <row r="70" spans="1:12" ht="18" x14ac:dyDescent="0.35">
      <c r="A70" s="67" t="s">
        <v>5</v>
      </c>
      <c r="B70" s="68" t="s">
        <v>16</v>
      </c>
      <c r="C70" s="69" t="s">
        <v>114</v>
      </c>
      <c r="D70" s="69" t="s">
        <v>75</v>
      </c>
      <c r="E70" s="68" t="s">
        <v>61</v>
      </c>
      <c r="F70" s="69" t="s">
        <v>18</v>
      </c>
      <c r="G70" s="68" t="s">
        <v>62</v>
      </c>
      <c r="H70" s="70" t="s">
        <v>104</v>
      </c>
      <c r="I70" s="69" t="s">
        <v>17</v>
      </c>
      <c r="J70" s="70" t="s">
        <v>151</v>
      </c>
      <c r="K70" s="149" t="s">
        <v>116</v>
      </c>
    </row>
    <row r="71" spans="1:12" x14ac:dyDescent="0.25">
      <c r="A71" s="152">
        <v>0.58399999999999996</v>
      </c>
      <c r="B71" s="30">
        <f>A71*B$45</f>
        <v>367.91999999999996</v>
      </c>
      <c r="C71" s="12">
        <f>A71*A71*'WPF Model'!B$8+A71*'WPF Model'!B$10+'WPF Model'!B$9</f>
        <v>0.35999999999999988</v>
      </c>
      <c r="D71" s="12">
        <f>IF(A71&lt;+B$10,1,A71*A71*B$11+A71*B$12+B$13)</f>
        <v>0.98454400000000009</v>
      </c>
      <c r="E71" s="30">
        <f>D71*B$43</f>
        <v>295.36320000000001</v>
      </c>
      <c r="F71" s="12">
        <f>IF(A71&lt;+B$22,1,A71*A71*B$23+A71*B$24+B$25)</f>
        <v>0.96908800000000006</v>
      </c>
      <c r="G71" s="30">
        <f>B$44*F71</f>
        <v>72.681600000000003</v>
      </c>
      <c r="H71" s="30">
        <f>B71-D71*B$43-F71*B$44</f>
        <v>-0.1248000000000502</v>
      </c>
      <c r="I71" s="12">
        <f>IF(A71&lt;=B$34,1,A71*A71*B$35+A71*B$36+B$37)</f>
        <v>0.97547200000000001</v>
      </c>
      <c r="J71" s="30">
        <f>H71/I71</f>
        <v>-0.12793806485480896</v>
      </c>
      <c r="K71" s="24">
        <f>J71+B$44+B$43</f>
        <v>374.87206193514521</v>
      </c>
    </row>
    <row r="72" spans="1:12" x14ac:dyDescent="0.25">
      <c r="A72" s="153">
        <f>(1-A71)/1.5+A71</f>
        <v>0.86133333333333328</v>
      </c>
      <c r="B72" s="31">
        <f>A72*B$45</f>
        <v>542.64</v>
      </c>
      <c r="C72" s="13">
        <f>A72*A72*'WPF Model'!B$8+A72*'WPF Model'!B$10+'WPF Model'!B$9</f>
        <v>0.78666666666666651</v>
      </c>
      <c r="D72" s="13">
        <f>IF(A72&lt;+B$10,1,A72*A72*B$11+A72*B$12+B$13)</f>
        <v>0.83330488888888887</v>
      </c>
      <c r="E72" s="31">
        <f>D72*B$43</f>
        <v>249.99146666666667</v>
      </c>
      <c r="F72" s="13">
        <f>IF(A72&lt;+B$22,1,A72*A72*B$23+A72*B$24+B$25)</f>
        <v>0.66660977777777797</v>
      </c>
      <c r="G72" s="31">
        <f>B$44*F72</f>
        <v>49.995733333333348</v>
      </c>
      <c r="H72" s="31">
        <f>B72-D72*B$43-F72*B$44</f>
        <v>242.65279999999996</v>
      </c>
      <c r="I72" s="13">
        <f>IF(A72&lt;=B$34,1,A72*A72*B$35+A72*B$36+B$37)</f>
        <v>0.84438577777777779</v>
      </c>
      <c r="J72" s="31">
        <f>H72/I72</f>
        <v>287.37196478913268</v>
      </c>
      <c r="K72" s="26">
        <f>J72+B$44+B$43</f>
        <v>662.37196478913268</v>
      </c>
    </row>
    <row r="73" spans="1:12" x14ac:dyDescent="0.25">
      <c r="A73" s="150" t="s">
        <v>196</v>
      </c>
      <c r="B73" s="30"/>
      <c r="C73" s="12"/>
      <c r="D73" s="12"/>
      <c r="E73" s="24"/>
      <c r="F73" s="12"/>
      <c r="G73" s="151" t="s">
        <v>193</v>
      </c>
      <c r="H73" s="30"/>
      <c r="I73" s="12"/>
      <c r="J73" s="30"/>
      <c r="K73" s="61"/>
    </row>
    <row r="74" spans="1:12" ht="18.75" x14ac:dyDescent="0.35">
      <c r="A74" s="64" t="s">
        <v>201</v>
      </c>
      <c r="B74" s="14"/>
      <c r="C74" s="14"/>
      <c r="D74" s="140" t="s">
        <v>65</v>
      </c>
      <c r="E74" s="141" t="s">
        <v>85</v>
      </c>
      <c r="F74" s="12"/>
      <c r="G74" s="4" t="s">
        <v>191</v>
      </c>
      <c r="H74" s="14"/>
      <c r="I74" s="14"/>
      <c r="J74" s="140" t="s">
        <v>185</v>
      </c>
      <c r="K74" s="141" t="s">
        <v>186</v>
      </c>
    </row>
    <row r="75" spans="1:12" ht="18" x14ac:dyDescent="0.35">
      <c r="A75" s="138" t="s">
        <v>167</v>
      </c>
      <c r="B75" s="14"/>
      <c r="C75" s="14"/>
      <c r="D75" s="12">
        <v>0</v>
      </c>
      <c r="E75" s="8">
        <f t="shared" ref="E75:E85" si="15">B$81+B$83*D75+B$82*D75^2</f>
        <v>0.36030476190476191</v>
      </c>
      <c r="F75" s="12"/>
      <c r="G75" s="4" t="s">
        <v>192</v>
      </c>
      <c r="H75" s="14"/>
      <c r="I75" s="14"/>
      <c r="J75" s="12">
        <f t="shared" ref="J75:J85" si="16">D75/B$78</f>
        <v>0</v>
      </c>
      <c r="K75" s="8">
        <f t="shared" ref="K75:K85" si="17">H$78+(1-H$78)*(1-(1-J75)^(1/H$80))</f>
        <v>0.36030476190476191</v>
      </c>
    </row>
    <row r="76" spans="1:12" x14ac:dyDescent="0.25">
      <c r="A76" s="4"/>
      <c r="B76" s="14"/>
      <c r="C76" s="14"/>
      <c r="D76" s="14">
        <f t="shared" ref="D76:D85" si="18">D75+B$78/10</f>
        <v>52</v>
      </c>
      <c r="E76" s="8">
        <f t="shared" si="15"/>
        <v>0.45079121024938829</v>
      </c>
      <c r="F76" s="14"/>
      <c r="G76" s="4"/>
      <c r="H76" s="14"/>
      <c r="I76" s="14"/>
      <c r="J76" s="12">
        <f t="shared" si="16"/>
        <v>0.1</v>
      </c>
      <c r="K76" s="8">
        <f t="shared" si="17"/>
        <v>0.4487816527604358</v>
      </c>
    </row>
    <row r="77" spans="1:12" ht="18" x14ac:dyDescent="0.35">
      <c r="A77" s="23" t="s">
        <v>199</v>
      </c>
      <c r="B77" s="79">
        <f>(B71-H71)/B45</f>
        <v>0.58419809523809529</v>
      </c>
      <c r="C77" s="14"/>
      <c r="D77" s="14">
        <f t="shared" si="18"/>
        <v>104</v>
      </c>
      <c r="E77" s="8">
        <f t="shared" si="15"/>
        <v>0.53538500869732519</v>
      </c>
      <c r="F77" s="14"/>
      <c r="G77" s="4"/>
      <c r="H77" s="14"/>
      <c r="I77" s="14"/>
      <c r="J77" s="12">
        <f t="shared" si="16"/>
        <v>0.2</v>
      </c>
      <c r="K77" s="8">
        <f t="shared" si="17"/>
        <v>0.53328503703763053</v>
      </c>
    </row>
    <row r="78" spans="1:12" ht="18" x14ac:dyDescent="0.35">
      <c r="A78" s="154" t="s">
        <v>200</v>
      </c>
      <c r="B78" s="30">
        <f>(B45-B43*B9-B44*B21)/B33</f>
        <v>520</v>
      </c>
      <c r="C78" s="12"/>
      <c r="D78" s="14">
        <f t="shared" si="18"/>
        <v>156</v>
      </c>
      <c r="E78" s="8">
        <f t="shared" si="15"/>
        <v>0.61408615724857274</v>
      </c>
      <c r="F78" s="14"/>
      <c r="G78" s="4" t="s">
        <v>189</v>
      </c>
      <c r="H78" s="12">
        <f>B81</f>
        <v>0.36030476190476191</v>
      </c>
      <c r="I78" s="14"/>
      <c r="J78" s="12">
        <f t="shared" si="16"/>
        <v>0.3</v>
      </c>
      <c r="K78" s="8">
        <f t="shared" si="17"/>
        <v>0.61352931500735597</v>
      </c>
      <c r="L78" s="14"/>
    </row>
    <row r="79" spans="1:12" ht="18" x14ac:dyDescent="0.35">
      <c r="A79" s="1" t="s">
        <v>203</v>
      </c>
      <c r="B79" s="10">
        <f>J72/B78</f>
        <v>0.55263839382525515</v>
      </c>
      <c r="C79" s="12"/>
      <c r="D79" s="14">
        <f t="shared" si="18"/>
        <v>208</v>
      </c>
      <c r="E79" s="8">
        <f t="shared" si="15"/>
        <v>0.6868946559031307</v>
      </c>
      <c r="F79" s="14"/>
      <c r="G79" s="4" t="s">
        <v>190</v>
      </c>
      <c r="H79" s="30">
        <f>K71</f>
        <v>374.87206193514521</v>
      </c>
      <c r="I79" s="14"/>
      <c r="J79" s="12">
        <f t="shared" si="16"/>
        <v>0.4</v>
      </c>
      <c r="K79" s="8">
        <f t="shared" si="17"/>
        <v>0.68916540582446784</v>
      </c>
      <c r="L79" s="14"/>
    </row>
    <row r="80" spans="1:12" ht="18" x14ac:dyDescent="0.35">
      <c r="A80" s="1" t="s">
        <v>202</v>
      </c>
      <c r="B80" s="145">
        <f>'WPF Model'!B9+'WPF Model'!B10*IrrReq!A72+'WPF Model'!B8*IrrReq!A72*IrrReq!A72</f>
        <v>0.78666666666666651</v>
      </c>
      <c r="D80" s="14">
        <f t="shared" si="18"/>
        <v>260</v>
      </c>
      <c r="E80" s="8">
        <f t="shared" si="15"/>
        <v>0.7538105046609993</v>
      </c>
      <c r="F80" s="14"/>
      <c r="G80" s="113" t="s">
        <v>184</v>
      </c>
      <c r="H80" s="12">
        <f>B77*B45/B78</f>
        <v>0.70777846153846158</v>
      </c>
      <c r="I80" s="14"/>
      <c r="J80" s="12">
        <f t="shared" si="16"/>
        <v>0.5</v>
      </c>
      <c r="K80" s="8">
        <f t="shared" si="17"/>
        <v>0.7597538573817415</v>
      </c>
      <c r="L80" s="14"/>
    </row>
    <row r="81" spans="1:12" ht="18" x14ac:dyDescent="0.35">
      <c r="A81" s="154" t="s">
        <v>198</v>
      </c>
      <c r="B81" s="145">
        <f>'WPF Model'!B9+'WPF Model'!B10*IrrReq!B77+'WPF Model'!B8*IrrReq!B77*IrrReq!B77</f>
        <v>0.36030476190476191</v>
      </c>
      <c r="D81" s="14">
        <f t="shared" si="18"/>
        <v>312</v>
      </c>
      <c r="E81" s="8">
        <f t="shared" si="15"/>
        <v>0.81483370352217832</v>
      </c>
      <c r="F81" s="14"/>
      <c r="G81" s="4"/>
      <c r="H81" s="14"/>
      <c r="I81" s="14"/>
      <c r="J81" s="12">
        <f t="shared" si="16"/>
        <v>0.6</v>
      </c>
      <c r="K81" s="8">
        <f t="shared" si="17"/>
        <v>0.82471892414300063</v>
      </c>
      <c r="L81" s="14"/>
    </row>
    <row r="82" spans="1:12" ht="18" x14ac:dyDescent="0.35">
      <c r="A82" s="143" t="s">
        <v>187</v>
      </c>
      <c r="B82" s="146">
        <f>(B80-B81-B79*(1-B81))/(B$78*B$78*B$79*(B$79-1))</f>
        <v>-1.089617214624531E-6</v>
      </c>
      <c r="D82" s="14">
        <f t="shared" si="18"/>
        <v>364</v>
      </c>
      <c r="E82" s="8">
        <f t="shared" si="15"/>
        <v>0.86996425248666776</v>
      </c>
      <c r="F82" s="14"/>
      <c r="G82" s="4"/>
      <c r="H82" s="14"/>
      <c r="I82" s="14"/>
      <c r="J82" s="12">
        <f t="shared" si="16"/>
        <v>0.7</v>
      </c>
      <c r="K82" s="8">
        <f t="shared" si="17"/>
        <v>0.88326189129476451</v>
      </c>
      <c r="L82" s="14"/>
    </row>
    <row r="83" spans="1:12" ht="18" x14ac:dyDescent="0.35">
      <c r="A83" s="144" t="s">
        <v>188</v>
      </c>
      <c r="B83" s="14">
        <f>(1-B81-B82*B78*B78)/B78</f>
        <v>1.7967841017879063E-3</v>
      </c>
      <c r="C83" s="14"/>
      <c r="D83" s="14">
        <f t="shared" si="18"/>
        <v>416</v>
      </c>
      <c r="E83" s="8">
        <f t="shared" si="15"/>
        <v>0.91920215155446816</v>
      </c>
      <c r="F83" s="49"/>
      <c r="G83" s="139"/>
      <c r="H83" s="49"/>
      <c r="I83" s="14"/>
      <c r="J83" s="12">
        <f t="shared" si="16"/>
        <v>0.8</v>
      </c>
      <c r="K83" s="8">
        <f t="shared" si="17"/>
        <v>0.93417083660961542</v>
      </c>
      <c r="L83" s="14"/>
    </row>
    <row r="84" spans="1:12" x14ac:dyDescent="0.25">
      <c r="A84" s="4"/>
      <c r="B84" s="14"/>
      <c r="C84" s="12"/>
      <c r="D84" s="14">
        <f t="shared" si="18"/>
        <v>468</v>
      </c>
      <c r="E84" s="8">
        <f t="shared" si="15"/>
        <v>0.96254740072557876</v>
      </c>
      <c r="F84" s="12"/>
      <c r="G84" s="113"/>
      <c r="H84" s="12"/>
      <c r="I84" s="14"/>
      <c r="J84" s="12">
        <f t="shared" si="16"/>
        <v>0.9</v>
      </c>
      <c r="K84" s="8">
        <f t="shared" si="17"/>
        <v>0.97527697310453887</v>
      </c>
      <c r="L84" s="14"/>
    </row>
    <row r="85" spans="1:12" x14ac:dyDescent="0.25">
      <c r="A85" s="65"/>
      <c r="B85" s="31"/>
      <c r="C85" s="13"/>
      <c r="D85" s="20">
        <f t="shared" si="18"/>
        <v>520</v>
      </c>
      <c r="E85" s="9">
        <f t="shared" si="15"/>
        <v>1</v>
      </c>
      <c r="F85" s="12"/>
      <c r="G85" s="114"/>
      <c r="H85" s="13"/>
      <c r="I85" s="20"/>
      <c r="J85" s="13">
        <f t="shared" si="16"/>
        <v>1</v>
      </c>
      <c r="K85" s="9">
        <f t="shared" si="17"/>
        <v>1</v>
      </c>
      <c r="L85" s="14"/>
    </row>
    <row r="86" spans="1:12" x14ac:dyDescent="0.25">
      <c r="A86" s="12"/>
      <c r="B86" s="30"/>
      <c r="C86" s="12"/>
      <c r="D86" s="12"/>
      <c r="E86" s="30"/>
      <c r="F86" s="12"/>
      <c r="G86" s="30"/>
      <c r="H86" s="30"/>
      <c r="I86" s="12"/>
      <c r="J86" s="30"/>
      <c r="K86" s="30"/>
      <c r="L86" s="14"/>
    </row>
    <row r="87" spans="1:12" x14ac:dyDescent="0.25">
      <c r="A87" s="12"/>
      <c r="B87" s="142"/>
      <c r="C87" s="12"/>
      <c r="D87" s="12"/>
      <c r="E87" s="30"/>
      <c r="F87" s="12"/>
      <c r="G87" s="30"/>
      <c r="H87" s="30"/>
      <c r="I87" s="12"/>
      <c r="J87" s="30"/>
      <c r="K87" s="14"/>
      <c r="L87" s="14"/>
    </row>
    <row r="88" spans="1:12" x14ac:dyDescent="0.25">
      <c r="C88" s="12"/>
      <c r="D88" s="12"/>
      <c r="E88" s="30"/>
      <c r="F88" s="12"/>
      <c r="G88" s="30"/>
      <c r="H88" s="30"/>
      <c r="I88" s="12"/>
      <c r="J88" s="30"/>
      <c r="K88" s="14"/>
      <c r="L88" s="14"/>
    </row>
    <row r="89" spans="1:12" x14ac:dyDescent="0.25">
      <c r="A89" s="12"/>
      <c r="B89" s="30"/>
      <c r="C89" s="12"/>
      <c r="D89" s="12"/>
      <c r="E89" s="30"/>
      <c r="F89" s="12"/>
      <c r="G89" s="30"/>
      <c r="H89" s="30"/>
      <c r="I89" s="12"/>
      <c r="J89" s="30"/>
    </row>
    <row r="90" spans="1:12" x14ac:dyDescent="0.25">
      <c r="C90" s="12"/>
    </row>
    <row r="91" spans="1:12" x14ac:dyDescent="0.25">
      <c r="C91" s="12"/>
    </row>
  </sheetData>
  <conditionalFormatting sqref="C84 A82 F84:H85 G80:H80 D74:F75 A73:J73 A71 J74:K75 H78 A86 A47:J67 A85:C85 K76:K85 C79 A78:C78 A87:J87 A89:J89 C88:J88 A80:B81">
    <cfRule type="cellIs" dxfId="7" priority="14" operator="lessThan">
      <formula>0</formula>
    </cfRule>
  </conditionalFormatting>
  <conditionalFormatting sqref="E76:E85">
    <cfRule type="cellIs" dxfId="6" priority="11" operator="lessThan">
      <formula>0</formula>
    </cfRule>
  </conditionalFormatting>
  <conditionalFormatting sqref="J76:J85">
    <cfRule type="cellIs" dxfId="5" priority="8" operator="lessThan">
      <formula>0</formula>
    </cfRule>
  </conditionalFormatting>
  <conditionalFormatting sqref="B71:J71">
    <cfRule type="cellIs" dxfId="4" priority="6" operator="lessThan">
      <formula>0</formula>
    </cfRule>
  </conditionalFormatting>
  <conditionalFormatting sqref="B72:J72">
    <cfRule type="cellIs" dxfId="3" priority="5" operator="lessThan">
      <formula>0</formula>
    </cfRule>
  </conditionalFormatting>
  <conditionalFormatting sqref="B86:J86">
    <cfRule type="cellIs" dxfId="2" priority="4" operator="lessThan">
      <formula>0</formula>
    </cfRule>
  </conditionalFormatting>
  <conditionalFormatting sqref="C90">
    <cfRule type="cellIs" dxfId="1" priority="3" operator="lessThan">
      <formula>0</formula>
    </cfRule>
  </conditionalFormatting>
  <conditionalFormatting sqref="C91">
    <cfRule type="cellIs" dxfId="0" priority="2" operator="lessThan">
      <formula>0</formula>
    </cfRule>
  </conditionalFormatting>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7070C-4108-4703-BFA9-8FDB0A43C9A7}">
  <dimension ref="A1:U137"/>
  <sheetViews>
    <sheetView zoomScale="93" zoomScaleNormal="93" workbookViewId="0">
      <selection activeCell="G2" sqref="G2"/>
    </sheetView>
  </sheetViews>
  <sheetFormatPr defaultRowHeight="15" x14ac:dyDescent="0.25"/>
  <cols>
    <col min="1" max="1" width="7.5703125" customWidth="1"/>
    <col min="2" max="2" width="10.28515625" customWidth="1"/>
    <col min="3" max="3" width="9" customWidth="1"/>
    <col min="4" max="4" width="7.7109375" customWidth="1"/>
    <col min="5" max="5" width="9" customWidth="1"/>
    <col min="7" max="8" width="9.42578125" customWidth="1"/>
    <col min="9" max="9" width="10" customWidth="1"/>
    <col min="11" max="11" width="9.42578125" customWidth="1"/>
    <col min="14" max="14" width="9.42578125" customWidth="1"/>
    <col min="17" max="17" width="8.85546875" customWidth="1"/>
    <col min="18" max="18" width="9.5703125" customWidth="1"/>
    <col min="19" max="19" width="7.140625" customWidth="1"/>
    <col min="20" max="20" width="6.140625" customWidth="1"/>
  </cols>
  <sheetData>
    <row r="1" spans="1:21" ht="18.75" x14ac:dyDescent="0.3">
      <c r="A1" s="158" t="s">
        <v>150</v>
      </c>
    </row>
    <row r="3" spans="1:21" x14ac:dyDescent="0.25">
      <c r="A3" t="s">
        <v>166</v>
      </c>
      <c r="R3" s="155" t="s">
        <v>124</v>
      </c>
      <c r="S3" s="156"/>
      <c r="U3" s="2" t="s">
        <v>126</v>
      </c>
    </row>
    <row r="4" spans="1:21" x14ac:dyDescent="0.25">
      <c r="C4" s="2" t="s">
        <v>21</v>
      </c>
      <c r="I4" s="76" t="s">
        <v>68</v>
      </c>
      <c r="J4" s="76"/>
      <c r="R4" s="2" t="s">
        <v>125</v>
      </c>
      <c r="T4" s="157" t="s">
        <v>112</v>
      </c>
      <c r="U4" s="157"/>
    </row>
    <row r="5" spans="1:21" ht="18.75" x14ac:dyDescent="0.35">
      <c r="B5" s="27" t="s">
        <v>159</v>
      </c>
      <c r="C5" s="1" t="s">
        <v>134</v>
      </c>
      <c r="D5" s="1" t="s">
        <v>136</v>
      </c>
      <c r="E5" s="1" t="s">
        <v>137</v>
      </c>
      <c r="F5" s="1" t="s">
        <v>140</v>
      </c>
      <c r="I5" s="27" t="s">
        <v>159</v>
      </c>
      <c r="J5" s="1" t="s">
        <v>134</v>
      </c>
      <c r="K5" s="1" t="s">
        <v>137</v>
      </c>
      <c r="L5" s="1" t="s">
        <v>165</v>
      </c>
      <c r="R5" s="3" t="s">
        <v>30</v>
      </c>
      <c r="S5" s="62">
        <f>'WPF Model'!B6</f>
        <v>0.35</v>
      </c>
      <c r="T5" s="3" t="s">
        <v>26</v>
      </c>
      <c r="U5" s="72">
        <f>(S6-S5+S7*S5-S7*S5^2)/(1-S5)</f>
        <v>-0.53846153846153844</v>
      </c>
    </row>
    <row r="6" spans="1:21" ht="18" x14ac:dyDescent="0.35">
      <c r="A6" s="1"/>
      <c r="B6" s="36">
        <v>12500</v>
      </c>
      <c r="C6" s="42">
        <v>0.2</v>
      </c>
      <c r="D6" s="42">
        <v>0.05</v>
      </c>
      <c r="E6" s="42">
        <v>0.15</v>
      </c>
      <c r="F6" s="43">
        <v>800</v>
      </c>
      <c r="I6" s="52">
        <v>0.18</v>
      </c>
      <c r="J6" s="52">
        <v>0.05</v>
      </c>
      <c r="K6" s="52">
        <v>0.04</v>
      </c>
      <c r="L6" s="53">
        <v>1200</v>
      </c>
      <c r="R6" s="23" t="s">
        <v>31</v>
      </c>
      <c r="S6" s="62">
        <f>'WPF Model'!B7</f>
        <v>0</v>
      </c>
      <c r="T6" s="23" t="s">
        <v>27</v>
      </c>
      <c r="U6" s="72">
        <f>(S6-1+S7-S7*S5^2)/(S5-1)</f>
        <v>1.5384615384615383</v>
      </c>
    </row>
    <row r="7" spans="1:21" ht="17.25" x14ac:dyDescent="0.25">
      <c r="B7" s="1" t="s">
        <v>142</v>
      </c>
      <c r="C7" s="1" t="s">
        <v>143</v>
      </c>
      <c r="D7" s="1" t="s">
        <v>146</v>
      </c>
      <c r="E7" s="51" t="s">
        <v>148</v>
      </c>
      <c r="F7" s="1" t="s">
        <v>147</v>
      </c>
      <c r="I7" s="27" t="s">
        <v>69</v>
      </c>
      <c r="R7" s="54" t="s">
        <v>28</v>
      </c>
      <c r="S7" s="62">
        <f>'WPF Model'!B8</f>
        <v>0</v>
      </c>
      <c r="T7" s="54" t="s">
        <v>28</v>
      </c>
      <c r="U7" s="62">
        <f>S7</f>
        <v>0</v>
      </c>
    </row>
    <row r="8" spans="1:21" ht="18" x14ac:dyDescent="0.35">
      <c r="B8" s="77">
        <f>B6*2.2/56/2.47</f>
        <v>198.81434355118566</v>
      </c>
      <c r="C8" s="44">
        <f>C6*56/2.2</f>
        <v>5.0909090909090908</v>
      </c>
      <c r="D8" s="44">
        <f>D6*56/2.2</f>
        <v>1.2727272727272727</v>
      </c>
      <c r="E8" s="44">
        <f>10*E6*305/2.47</f>
        <v>185.2226720647773</v>
      </c>
      <c r="F8" s="45">
        <f>F6/2.47</f>
        <v>323.88663967611336</v>
      </c>
      <c r="R8" s="3" t="s">
        <v>45</v>
      </c>
      <c r="S8" s="62">
        <f>IrrReq!B9</f>
        <v>0.7</v>
      </c>
      <c r="T8" s="1" t="s">
        <v>42</v>
      </c>
      <c r="U8" s="72">
        <f>$S8-$U9-$S10</f>
        <v>0.8</v>
      </c>
    </row>
    <row r="9" spans="1:21" ht="18" x14ac:dyDescent="0.35">
      <c r="R9" s="23" t="s">
        <v>46</v>
      </c>
      <c r="S9" s="62">
        <f>IrrReq!B10</f>
        <v>0.5</v>
      </c>
      <c r="T9" s="1" t="s">
        <v>41</v>
      </c>
      <c r="U9" s="72">
        <f>($S8-1-$S10*(1-$S9*$S9))/(1-$S9)</f>
        <v>0.89999999999999991</v>
      </c>
    </row>
    <row r="10" spans="1:21" x14ac:dyDescent="0.25">
      <c r="A10" s="2" t="s">
        <v>110</v>
      </c>
      <c r="B10" s="37" t="s">
        <v>111</v>
      </c>
      <c r="G10" s="103"/>
      <c r="H10" s="78"/>
      <c r="K10" s="14"/>
      <c r="L10" s="14"/>
      <c r="M10" s="14"/>
      <c r="N10" s="14"/>
      <c r="R10" s="54" t="s">
        <v>40</v>
      </c>
      <c r="S10" s="62">
        <f>IrrReq!B11</f>
        <v>-1</v>
      </c>
      <c r="T10" s="54" t="s">
        <v>40</v>
      </c>
      <c r="U10" s="62">
        <f>S10</f>
        <v>-1</v>
      </c>
    </row>
    <row r="11" spans="1:21" ht="18" x14ac:dyDescent="0.35">
      <c r="A11" s="3" t="s">
        <v>5</v>
      </c>
      <c r="B11" s="11" t="s">
        <v>6</v>
      </c>
      <c r="C11" s="11" t="s">
        <v>64</v>
      </c>
      <c r="D11" s="11" t="s">
        <v>151</v>
      </c>
      <c r="E11" s="11" t="s">
        <v>135</v>
      </c>
      <c r="F11" s="11" t="s">
        <v>138</v>
      </c>
      <c r="G11" s="11" t="s">
        <v>154</v>
      </c>
      <c r="H11" s="11" t="s">
        <v>141</v>
      </c>
      <c r="I11" s="28" t="s">
        <v>66</v>
      </c>
      <c r="J11" s="50"/>
      <c r="K11" s="50"/>
      <c r="L11" s="50"/>
      <c r="M11" s="50"/>
      <c r="N11" s="50"/>
      <c r="R11" s="3" t="s">
        <v>50</v>
      </c>
      <c r="S11" s="62">
        <f>IrrReq!B21</f>
        <v>0.4</v>
      </c>
      <c r="T11" s="1" t="s">
        <v>53</v>
      </c>
      <c r="U11" s="72">
        <f>$S11-$U12-$S13</f>
        <v>0.60000000000000009</v>
      </c>
    </row>
    <row r="12" spans="1:21" ht="18" x14ac:dyDescent="0.35">
      <c r="A12" s="23"/>
      <c r="B12" s="40" t="s">
        <v>23</v>
      </c>
      <c r="C12" s="40" t="s">
        <v>15</v>
      </c>
      <c r="D12" s="40" t="s">
        <v>15</v>
      </c>
      <c r="E12" s="40" t="s">
        <v>22</v>
      </c>
      <c r="F12" s="40" t="s">
        <v>22</v>
      </c>
      <c r="G12" s="40" t="s">
        <v>22</v>
      </c>
      <c r="H12" s="40" t="s">
        <v>22</v>
      </c>
      <c r="I12" s="40" t="s">
        <v>22</v>
      </c>
      <c r="J12" s="40"/>
      <c r="K12" s="80"/>
      <c r="L12" s="80"/>
      <c r="M12" s="80"/>
      <c r="N12" s="80"/>
      <c r="R12" s="23" t="s">
        <v>51</v>
      </c>
      <c r="S12" s="62">
        <f>IrrReq!B22</f>
        <v>0.5</v>
      </c>
      <c r="T12" s="1" t="s">
        <v>54</v>
      </c>
      <c r="U12" s="72">
        <f>($S11-1-$S13*(1-$S12*$S12))/(1-$S12)</f>
        <v>1.8</v>
      </c>
    </row>
    <row r="13" spans="1:21" ht="15.75" customHeight="1" x14ac:dyDescent="0.25">
      <c r="A13" s="94" t="s">
        <v>168</v>
      </c>
      <c r="B13" s="101">
        <f>(U19*D13*D13+U18*D13+U17)</f>
        <v>11927.383009343492</v>
      </c>
      <c r="C13" s="96"/>
      <c r="D13" s="101">
        <f>(1/(2*U19))*((E$6*10)/(C$6-D$6)-U$18)</f>
        <v>457.40104341660316</v>
      </c>
      <c r="E13" s="97">
        <f t="shared" ref="E13:E44" si="0">C$6*B13</f>
        <v>2385.4766018686983</v>
      </c>
      <c r="F13" s="97">
        <f t="shared" ref="F13:F44" si="1">D$6*B13</f>
        <v>596.36915046717456</v>
      </c>
      <c r="G13" s="97">
        <f t="shared" ref="G13:G44" si="2">E$6*10*D13</f>
        <v>686.10156512490471</v>
      </c>
      <c r="H13" s="39">
        <f>F13+G13+F$6</f>
        <v>2082.4707155920792</v>
      </c>
      <c r="I13" s="97">
        <f>E13-H13</f>
        <v>303.00588627661909</v>
      </c>
      <c r="J13" s="98"/>
      <c r="K13" s="98"/>
      <c r="L13" s="97"/>
      <c r="M13" s="97"/>
      <c r="N13" t="s">
        <v>152</v>
      </c>
      <c r="O13" s="14" t="s">
        <v>153</v>
      </c>
      <c r="R13" s="54" t="s">
        <v>52</v>
      </c>
      <c r="S13" s="62">
        <f>IrrReq!B23</f>
        <v>-2</v>
      </c>
      <c r="T13" s="54" t="s">
        <v>52</v>
      </c>
      <c r="U13" s="62">
        <f>S13</f>
        <v>-2</v>
      </c>
    </row>
    <row r="14" spans="1:21" x14ac:dyDescent="0.25">
      <c r="A14" s="4">
        <v>1</v>
      </c>
      <c r="B14" s="30">
        <f t="shared" ref="B14:B45" si="3">B$6*(MAX(0,U$5+U$6*A14+U$7*A14^2))</f>
        <v>12499.999999999998</v>
      </c>
      <c r="C14" s="30">
        <f t="shared" ref="C14:C45" si="4">MAX(A14*S$17-S$18*(MIN(1,U$8+U$9*A14+U$10*A14^2))-S$19*(MIN(1,U$11+U$12*A14+U$13*A14^2)),0)</f>
        <v>390</v>
      </c>
      <c r="D14" s="30">
        <f t="shared" ref="D14:D45" si="5">C14/(MIN(1,U$14+U$15*A14+U$16*A14^2))</f>
        <v>520</v>
      </c>
      <c r="E14" s="38">
        <f t="shared" si="0"/>
        <v>2500</v>
      </c>
      <c r="F14" s="39">
        <f t="shared" si="1"/>
        <v>625</v>
      </c>
      <c r="G14" s="39">
        <f t="shared" si="2"/>
        <v>780</v>
      </c>
      <c r="H14" s="39">
        <f>F14+G14+F$6</f>
        <v>2205</v>
      </c>
      <c r="I14" s="38">
        <f>E14-H14</f>
        <v>295</v>
      </c>
      <c r="J14" s="79"/>
      <c r="K14" s="79"/>
      <c r="L14" s="38"/>
      <c r="M14" s="38"/>
      <c r="N14">
        <f t="shared" ref="N14:N45" si="6">IF($I14=$L$31,D14,0)</f>
        <v>0</v>
      </c>
      <c r="O14">
        <f t="shared" ref="O14:O45" si="7">IF($I14=$L$31,A14,0)</f>
        <v>0</v>
      </c>
      <c r="R14" s="3" t="s">
        <v>24</v>
      </c>
      <c r="S14" s="62">
        <f>IrrReq!B33</f>
        <v>0.75</v>
      </c>
      <c r="T14" s="1" t="s">
        <v>37</v>
      </c>
      <c r="U14" s="72">
        <f>$S14-$U15-$S16</f>
        <v>1</v>
      </c>
    </row>
    <row r="15" spans="1:21" x14ac:dyDescent="0.25">
      <c r="A15" s="4">
        <f>A14-0.005</f>
        <v>0.995</v>
      </c>
      <c r="B15" s="30">
        <f t="shared" si="3"/>
        <v>12403.846153846152</v>
      </c>
      <c r="C15" s="30">
        <f t="shared" si="4"/>
        <v>384.38625000000002</v>
      </c>
      <c r="D15" s="30">
        <f t="shared" si="5"/>
        <v>509.97363140350592</v>
      </c>
      <c r="E15" s="38">
        <f t="shared" si="0"/>
        <v>2480.7692307692305</v>
      </c>
      <c r="F15" s="39">
        <f t="shared" si="1"/>
        <v>620.19230769230762</v>
      </c>
      <c r="G15" s="39">
        <f t="shared" si="2"/>
        <v>764.96044710525894</v>
      </c>
      <c r="H15" s="39">
        <f t="shared" ref="H15:H78" si="8">F15+G15+F$6</f>
        <v>2185.1527547975666</v>
      </c>
      <c r="I15" s="38">
        <f t="shared" ref="I15:I78" si="9">E15-H15</f>
        <v>295.61647597166393</v>
      </c>
      <c r="J15" s="79"/>
      <c r="K15" s="79"/>
      <c r="L15" s="38"/>
      <c r="M15" s="38"/>
      <c r="N15">
        <f t="shared" si="6"/>
        <v>0</v>
      </c>
      <c r="O15">
        <f t="shared" si="7"/>
        <v>0</v>
      </c>
      <c r="R15" s="23" t="s">
        <v>71</v>
      </c>
      <c r="S15" s="62">
        <f>IrrReq!B34</f>
        <v>0.5</v>
      </c>
      <c r="T15" s="1" t="s">
        <v>38</v>
      </c>
      <c r="U15" s="72">
        <f>($S14-1-$S16*(1-$S15*$S15))/(1-$S15)</f>
        <v>0.25</v>
      </c>
    </row>
    <row r="16" spans="1:21" x14ac:dyDescent="0.25">
      <c r="A16" s="4">
        <f t="shared" ref="A16:A79" si="10">A15-0.005</f>
        <v>0.99</v>
      </c>
      <c r="B16" s="30">
        <f t="shared" si="3"/>
        <v>12307.692307692307</v>
      </c>
      <c r="C16" s="30">
        <f t="shared" si="4"/>
        <v>378.79500000000007</v>
      </c>
      <c r="D16" s="30">
        <f t="shared" si="5"/>
        <v>500.09241534094667</v>
      </c>
      <c r="E16" s="38">
        <f t="shared" si="0"/>
        <v>2461.5384615384614</v>
      </c>
      <c r="F16" s="39">
        <f t="shared" si="1"/>
        <v>615.38461538461536</v>
      </c>
      <c r="G16" s="39">
        <f t="shared" si="2"/>
        <v>750.13862301142001</v>
      </c>
      <c r="H16" s="39">
        <f t="shared" si="8"/>
        <v>2165.5232383960356</v>
      </c>
      <c r="I16" s="38">
        <f t="shared" si="9"/>
        <v>296.01522314242584</v>
      </c>
      <c r="J16" s="79"/>
      <c r="K16" s="79"/>
      <c r="L16" s="38"/>
      <c r="M16" s="38"/>
      <c r="N16">
        <f t="shared" si="6"/>
        <v>0</v>
      </c>
      <c r="O16">
        <f t="shared" si="7"/>
        <v>0</v>
      </c>
      <c r="R16" s="54" t="s">
        <v>36</v>
      </c>
      <c r="S16" s="62">
        <f>IrrReq!B35</f>
        <v>-0.5</v>
      </c>
      <c r="T16" s="54" t="s">
        <v>36</v>
      </c>
      <c r="U16" s="62">
        <f>S16</f>
        <v>-0.5</v>
      </c>
    </row>
    <row r="17" spans="1:21" ht="18" x14ac:dyDescent="0.35">
      <c r="A17" s="4">
        <f t="shared" si="10"/>
        <v>0.98499999999999999</v>
      </c>
      <c r="B17" s="30">
        <f t="shared" si="3"/>
        <v>12211.538461538461</v>
      </c>
      <c r="C17" s="30">
        <f t="shared" si="4"/>
        <v>373.22624999999988</v>
      </c>
      <c r="D17" s="30">
        <f t="shared" si="5"/>
        <v>490.35325417549376</v>
      </c>
      <c r="E17" s="38">
        <f t="shared" si="0"/>
        <v>2442.3076923076924</v>
      </c>
      <c r="F17" s="39">
        <f t="shared" si="1"/>
        <v>610.57692307692309</v>
      </c>
      <c r="G17" s="39">
        <f t="shared" si="2"/>
        <v>735.52988126324067</v>
      </c>
      <c r="H17" s="39">
        <f t="shared" si="8"/>
        <v>2146.1068043401638</v>
      </c>
      <c r="I17" s="38">
        <f t="shared" si="9"/>
        <v>296.20088796752862</v>
      </c>
      <c r="J17" s="79"/>
      <c r="K17" s="79"/>
      <c r="L17" s="38"/>
      <c r="M17" s="38"/>
      <c r="N17">
        <f t="shared" si="6"/>
        <v>490.35325417549376</v>
      </c>
      <c r="O17">
        <f t="shared" si="7"/>
        <v>0.98499999999999999</v>
      </c>
      <c r="R17" s="89" t="s">
        <v>155</v>
      </c>
      <c r="S17" s="71">
        <f>IrrReq!B45</f>
        <v>630</v>
      </c>
      <c r="T17" s="102" t="s">
        <v>156</v>
      </c>
      <c r="U17" s="77">
        <f>IrrReq!B81*B6</f>
        <v>4503.8095238095239</v>
      </c>
    </row>
    <row r="18" spans="1:21" ht="18" x14ac:dyDescent="0.35">
      <c r="A18" s="4">
        <f t="shared" si="10"/>
        <v>0.98</v>
      </c>
      <c r="B18" s="30">
        <f t="shared" si="3"/>
        <v>12115.384615384613</v>
      </c>
      <c r="C18" s="30">
        <f t="shared" si="4"/>
        <v>367.67999999999995</v>
      </c>
      <c r="D18" s="30">
        <f t="shared" si="5"/>
        <v>480.75313807531364</v>
      </c>
      <c r="E18" s="38">
        <f t="shared" si="0"/>
        <v>2423.0769230769229</v>
      </c>
      <c r="F18" s="39">
        <f t="shared" si="1"/>
        <v>605.76923076923072</v>
      </c>
      <c r="G18" s="39">
        <f t="shared" si="2"/>
        <v>721.12970711297044</v>
      </c>
      <c r="H18" s="39">
        <f t="shared" si="8"/>
        <v>2126.8989378822012</v>
      </c>
      <c r="I18" s="38">
        <f t="shared" si="9"/>
        <v>296.17798519472171</v>
      </c>
      <c r="J18" s="79"/>
      <c r="K18" s="79"/>
      <c r="L18" s="38"/>
      <c r="M18" s="38"/>
      <c r="N18">
        <f t="shared" si="6"/>
        <v>0</v>
      </c>
      <c r="O18">
        <f t="shared" si="7"/>
        <v>0</v>
      </c>
      <c r="R18" s="90" t="s">
        <v>106</v>
      </c>
      <c r="S18" s="71">
        <f>IrrReq!B43</f>
        <v>300</v>
      </c>
      <c r="T18" s="90" t="s">
        <v>157</v>
      </c>
      <c r="U18" s="72">
        <f>IrrReq!B83*B6</f>
        <v>22.45980127234883</v>
      </c>
    </row>
    <row r="19" spans="1:21" ht="18" x14ac:dyDescent="0.35">
      <c r="A19" s="4">
        <f t="shared" si="10"/>
        <v>0.97499999999999998</v>
      </c>
      <c r="B19" s="30">
        <f t="shared" si="3"/>
        <v>12019.230769230766</v>
      </c>
      <c r="C19" s="30">
        <f t="shared" si="4"/>
        <v>362.15625</v>
      </c>
      <c r="D19" s="30">
        <f t="shared" si="5"/>
        <v>471.28914192761295</v>
      </c>
      <c r="E19" s="38">
        <f t="shared" si="0"/>
        <v>2403.8461538461534</v>
      </c>
      <c r="F19" s="39">
        <f t="shared" si="1"/>
        <v>600.96153846153834</v>
      </c>
      <c r="G19" s="39">
        <f t="shared" si="2"/>
        <v>706.93371289141942</v>
      </c>
      <c r="H19" s="39">
        <f t="shared" si="8"/>
        <v>2107.8952513529575</v>
      </c>
      <c r="I19" s="38">
        <f t="shared" si="9"/>
        <v>295.95090249319583</v>
      </c>
      <c r="J19" s="79"/>
      <c r="K19" s="79"/>
      <c r="L19" s="38"/>
      <c r="M19" s="38"/>
      <c r="N19">
        <f t="shared" si="6"/>
        <v>0</v>
      </c>
      <c r="O19">
        <f t="shared" si="7"/>
        <v>0</v>
      </c>
      <c r="R19" s="91" t="s">
        <v>107</v>
      </c>
      <c r="S19" s="71">
        <f>IrrReq!B44</f>
        <v>75</v>
      </c>
      <c r="T19" s="91" t="s">
        <v>158</v>
      </c>
      <c r="U19" s="111">
        <f>IrrReq!B82*B6</f>
        <v>-1.3620215182806638E-2</v>
      </c>
    </row>
    <row r="20" spans="1:21" x14ac:dyDescent="0.25">
      <c r="A20" s="4">
        <f t="shared" si="10"/>
        <v>0.97</v>
      </c>
      <c r="B20" s="30">
        <f t="shared" si="3"/>
        <v>11923.07692307692</v>
      </c>
      <c r="C20" s="30">
        <f t="shared" si="4"/>
        <v>356.65500000000003</v>
      </c>
      <c r="D20" s="30">
        <f t="shared" si="5"/>
        <v>461.95842238197019</v>
      </c>
      <c r="E20" s="38">
        <f t="shared" si="0"/>
        <v>2384.6153846153843</v>
      </c>
      <c r="F20" s="39">
        <f t="shared" si="1"/>
        <v>596.15384615384608</v>
      </c>
      <c r="G20" s="39">
        <f t="shared" si="2"/>
        <v>692.93763357295529</v>
      </c>
      <c r="H20" s="39">
        <f t="shared" si="8"/>
        <v>2089.0914797268015</v>
      </c>
      <c r="I20" s="38">
        <f t="shared" si="9"/>
        <v>295.52390488858282</v>
      </c>
      <c r="J20" s="79"/>
      <c r="K20" s="79"/>
      <c r="L20" s="38"/>
      <c r="M20" s="38"/>
      <c r="N20">
        <f t="shared" si="6"/>
        <v>0</v>
      </c>
      <c r="O20">
        <f t="shared" si="7"/>
        <v>0</v>
      </c>
    </row>
    <row r="21" spans="1:21" x14ac:dyDescent="0.25">
      <c r="A21" s="4">
        <f t="shared" si="10"/>
        <v>0.96499999999999997</v>
      </c>
      <c r="B21" s="30">
        <f t="shared" si="3"/>
        <v>11826.923076923074</v>
      </c>
      <c r="C21" s="30">
        <f t="shared" si="4"/>
        <v>351.17624999999992</v>
      </c>
      <c r="D21" s="30">
        <f t="shared" si="5"/>
        <v>452.75821501667974</v>
      </c>
      <c r="E21" s="38">
        <f t="shared" si="0"/>
        <v>2365.3846153846148</v>
      </c>
      <c r="F21" s="39">
        <f t="shared" si="1"/>
        <v>591.3461538461537</v>
      </c>
      <c r="G21" s="39">
        <f t="shared" si="2"/>
        <v>679.13732252501961</v>
      </c>
      <c r="H21" s="39">
        <f t="shared" si="8"/>
        <v>2070.4834763711733</v>
      </c>
      <c r="I21" s="38">
        <f t="shared" si="9"/>
        <v>294.90113901344148</v>
      </c>
      <c r="J21" s="79"/>
      <c r="K21" s="79"/>
      <c r="L21" s="38"/>
      <c r="M21" s="38"/>
      <c r="N21">
        <f t="shared" si="6"/>
        <v>0</v>
      </c>
      <c r="O21">
        <f t="shared" si="7"/>
        <v>0</v>
      </c>
      <c r="T21" s="50"/>
    </row>
    <row r="22" spans="1:21" x14ac:dyDescent="0.25">
      <c r="A22" s="4">
        <f t="shared" si="10"/>
        <v>0.96</v>
      </c>
      <c r="B22" s="30">
        <f t="shared" si="3"/>
        <v>11730.769230769229</v>
      </c>
      <c r="C22" s="30">
        <f t="shared" si="4"/>
        <v>345.71999999999997</v>
      </c>
      <c r="D22" s="30">
        <f t="shared" si="5"/>
        <v>443.68583162217658</v>
      </c>
      <c r="E22" s="38">
        <f t="shared" si="0"/>
        <v>2346.1538461538457</v>
      </c>
      <c r="F22" s="39">
        <f t="shared" si="1"/>
        <v>586.53846153846143</v>
      </c>
      <c r="G22" s="39">
        <f t="shared" si="2"/>
        <v>665.52874743326493</v>
      </c>
      <c r="H22" s="39">
        <f t="shared" si="8"/>
        <v>2052.0672089717264</v>
      </c>
      <c r="I22" s="38">
        <f t="shared" si="9"/>
        <v>294.08663718211938</v>
      </c>
      <c r="J22" s="79"/>
      <c r="K22" s="79"/>
      <c r="L22" s="38"/>
      <c r="M22" s="38"/>
      <c r="N22">
        <f t="shared" si="6"/>
        <v>0</v>
      </c>
      <c r="O22">
        <f t="shared" si="7"/>
        <v>0</v>
      </c>
      <c r="R22" s="14"/>
      <c r="S22" s="30"/>
      <c r="T22" s="50"/>
      <c r="U22" s="14"/>
    </row>
    <row r="23" spans="1:21" x14ac:dyDescent="0.25">
      <c r="A23" s="4">
        <f t="shared" si="10"/>
        <v>0.95499999999999996</v>
      </c>
      <c r="B23" s="30">
        <f t="shared" si="3"/>
        <v>11634.615384615383</v>
      </c>
      <c r="C23" s="30">
        <f t="shared" si="4"/>
        <v>340.28625</v>
      </c>
      <c r="D23" s="30">
        <f t="shared" si="5"/>
        <v>434.7386575959373</v>
      </c>
      <c r="E23" s="38">
        <f t="shared" si="0"/>
        <v>2326.9230769230767</v>
      </c>
      <c r="F23" s="39">
        <f t="shared" si="1"/>
        <v>581.73076923076917</v>
      </c>
      <c r="G23" s="39">
        <f t="shared" si="2"/>
        <v>652.107986393906</v>
      </c>
      <c r="H23" s="39">
        <f t="shared" si="8"/>
        <v>2033.8387556246753</v>
      </c>
      <c r="I23" s="38">
        <f t="shared" si="9"/>
        <v>293.08432129840139</v>
      </c>
      <c r="J23" s="79"/>
      <c r="K23" s="79"/>
      <c r="L23" s="38"/>
      <c r="M23" s="38"/>
      <c r="N23">
        <f t="shared" si="6"/>
        <v>0</v>
      </c>
      <c r="O23">
        <f t="shared" si="7"/>
        <v>0</v>
      </c>
      <c r="R23" s="79"/>
      <c r="S23" s="159"/>
      <c r="T23" s="38"/>
      <c r="U23" s="159"/>
    </row>
    <row r="24" spans="1:21" x14ac:dyDescent="0.25">
      <c r="A24" s="4">
        <f t="shared" si="10"/>
        <v>0.95</v>
      </c>
      <c r="B24" s="30">
        <f t="shared" si="3"/>
        <v>11538.461538461535</v>
      </c>
      <c r="C24" s="30">
        <f t="shared" si="4"/>
        <v>334.87500000000006</v>
      </c>
      <c r="D24" s="30">
        <f t="shared" si="5"/>
        <v>425.9141494435612</v>
      </c>
      <c r="E24" s="38">
        <f t="shared" si="0"/>
        <v>2307.6923076923072</v>
      </c>
      <c r="F24" s="39">
        <f t="shared" si="1"/>
        <v>576.92307692307679</v>
      </c>
      <c r="G24" s="39">
        <f t="shared" si="2"/>
        <v>638.8712241653418</v>
      </c>
      <c r="H24" s="39">
        <f t="shared" si="8"/>
        <v>2015.7943010884187</v>
      </c>
      <c r="I24" s="38">
        <f t="shared" si="9"/>
        <v>291.89800660388846</v>
      </c>
      <c r="J24" s="79"/>
      <c r="K24" s="79"/>
      <c r="L24" s="38"/>
      <c r="M24" s="38"/>
      <c r="N24">
        <f t="shared" si="6"/>
        <v>0</v>
      </c>
      <c r="O24">
        <f t="shared" si="7"/>
        <v>0</v>
      </c>
      <c r="R24" s="79"/>
      <c r="S24" s="160"/>
      <c r="T24" s="160"/>
      <c r="U24" s="160"/>
    </row>
    <row r="25" spans="1:21" x14ac:dyDescent="0.25">
      <c r="A25" s="4">
        <f t="shared" si="10"/>
        <v>0.94499999999999995</v>
      </c>
      <c r="B25" s="30">
        <f t="shared" si="3"/>
        <v>11442.30769230769</v>
      </c>
      <c r="C25" s="30">
        <f t="shared" si="4"/>
        <v>329.48624999999993</v>
      </c>
      <c r="D25" s="30">
        <f t="shared" si="5"/>
        <v>417.20983238101252</v>
      </c>
      <c r="E25" s="38">
        <f t="shared" si="0"/>
        <v>2288.4615384615381</v>
      </c>
      <c r="F25" s="39">
        <f t="shared" si="1"/>
        <v>572.11538461538453</v>
      </c>
      <c r="G25" s="39">
        <f t="shared" si="2"/>
        <v>625.81474857151875</v>
      </c>
      <c r="H25" s="39">
        <f t="shared" si="8"/>
        <v>1997.9301331869033</v>
      </c>
      <c r="I25" s="38">
        <f t="shared" si="9"/>
        <v>290.53140527463484</v>
      </c>
      <c r="J25" s="79"/>
      <c r="K25" s="79"/>
      <c r="L25" s="38"/>
      <c r="M25" s="38"/>
      <c r="N25">
        <f t="shared" si="6"/>
        <v>0</v>
      </c>
      <c r="O25">
        <f t="shared" si="7"/>
        <v>0</v>
      </c>
      <c r="R25" s="79"/>
      <c r="S25" s="161"/>
      <c r="T25" s="161"/>
      <c r="U25" s="161"/>
    </row>
    <row r="26" spans="1:21" x14ac:dyDescent="0.25">
      <c r="A26" s="4">
        <f t="shared" si="10"/>
        <v>0.94</v>
      </c>
      <c r="B26" s="30">
        <f t="shared" si="3"/>
        <v>11346.153846153844</v>
      </c>
      <c r="C26" s="30">
        <f t="shared" si="4"/>
        <v>324.11999999999989</v>
      </c>
      <c r="D26" s="30">
        <f t="shared" si="5"/>
        <v>408.62329803328282</v>
      </c>
      <c r="E26" s="38">
        <f t="shared" si="0"/>
        <v>2269.2307692307691</v>
      </c>
      <c r="F26" s="39">
        <f t="shared" si="1"/>
        <v>567.30769230769226</v>
      </c>
      <c r="G26" s="39">
        <f t="shared" si="2"/>
        <v>612.93494704992418</v>
      </c>
      <c r="H26" s="39">
        <f t="shared" si="8"/>
        <v>1980.2426393576166</v>
      </c>
      <c r="I26" s="38">
        <f t="shared" si="9"/>
        <v>288.9881298731525</v>
      </c>
      <c r="J26" s="79"/>
      <c r="K26" s="79"/>
      <c r="L26" s="38"/>
      <c r="M26" s="38"/>
      <c r="N26">
        <f t="shared" si="6"/>
        <v>0</v>
      </c>
      <c r="O26">
        <f t="shared" si="7"/>
        <v>0</v>
      </c>
      <c r="R26" s="14"/>
      <c r="S26" s="95"/>
      <c r="T26" s="95"/>
      <c r="U26" s="95"/>
    </row>
    <row r="27" spans="1:21" x14ac:dyDescent="0.25">
      <c r="A27" s="4">
        <f t="shared" si="10"/>
        <v>0.93499999999999994</v>
      </c>
      <c r="B27" s="30">
        <f t="shared" si="3"/>
        <v>11249.999999999998</v>
      </c>
      <c r="C27" s="30">
        <f t="shared" si="4"/>
        <v>318.77624999999995</v>
      </c>
      <c r="D27" s="30">
        <f t="shared" si="5"/>
        <v>400.15220222497686</v>
      </c>
      <c r="E27" s="38">
        <f t="shared" si="0"/>
        <v>2249.9999999999995</v>
      </c>
      <c r="F27" s="39">
        <f t="shared" si="1"/>
        <v>562.49999999999989</v>
      </c>
      <c r="G27" s="39">
        <f t="shared" si="2"/>
        <v>600.22830333746526</v>
      </c>
      <c r="H27" s="39">
        <f t="shared" si="8"/>
        <v>1962.7283033374651</v>
      </c>
      <c r="I27" s="38">
        <f t="shared" si="9"/>
        <v>287.2716966625344</v>
      </c>
      <c r="J27" s="79"/>
      <c r="K27" s="79"/>
      <c r="L27" s="38"/>
      <c r="M27" s="38"/>
      <c r="N27">
        <f t="shared" si="6"/>
        <v>0</v>
      </c>
      <c r="O27">
        <f t="shared" si="7"/>
        <v>0</v>
      </c>
      <c r="S27" s="97"/>
      <c r="T27" s="97"/>
      <c r="U27" s="97"/>
    </row>
    <row r="28" spans="1:21" x14ac:dyDescent="0.25">
      <c r="A28" s="4">
        <f t="shared" si="10"/>
        <v>0.92999999999999994</v>
      </c>
      <c r="B28" s="30">
        <f t="shared" si="3"/>
        <v>11153.846153846152</v>
      </c>
      <c r="C28" s="30">
        <f t="shared" si="4"/>
        <v>313.45499999999998</v>
      </c>
      <c r="D28" s="30">
        <f t="shared" si="5"/>
        <v>391.79426285857136</v>
      </c>
      <c r="E28" s="38">
        <f t="shared" si="0"/>
        <v>2230.7692307692305</v>
      </c>
      <c r="F28" s="39">
        <f t="shared" si="1"/>
        <v>557.69230769230762</v>
      </c>
      <c r="G28" s="39">
        <f t="shared" si="2"/>
        <v>587.69139428785707</v>
      </c>
      <c r="H28" s="39">
        <f t="shared" si="8"/>
        <v>1945.3837019801647</v>
      </c>
      <c r="I28" s="38">
        <f t="shared" si="9"/>
        <v>285.3855287890658</v>
      </c>
      <c r="J28" s="79"/>
      <c r="K28" s="79"/>
      <c r="L28" s="38"/>
      <c r="M28" s="38"/>
      <c r="N28">
        <f t="shared" si="6"/>
        <v>0</v>
      </c>
      <c r="O28">
        <f t="shared" si="7"/>
        <v>0</v>
      </c>
    </row>
    <row r="29" spans="1:21" x14ac:dyDescent="0.25">
      <c r="A29" s="4">
        <f t="shared" si="10"/>
        <v>0.92499999999999993</v>
      </c>
      <c r="B29" s="30">
        <f t="shared" si="3"/>
        <v>11057.692307692307</v>
      </c>
      <c r="C29" s="30">
        <f t="shared" si="4"/>
        <v>308.15625</v>
      </c>
      <c r="D29" s="30">
        <f t="shared" si="5"/>
        <v>383.5472578763127</v>
      </c>
      <c r="E29" s="38">
        <f t="shared" si="0"/>
        <v>2211.5384615384614</v>
      </c>
      <c r="F29" s="39">
        <f t="shared" si="1"/>
        <v>552.88461538461536</v>
      </c>
      <c r="G29" s="39">
        <f t="shared" si="2"/>
        <v>575.32088681446908</v>
      </c>
      <c r="H29" s="39">
        <f t="shared" si="8"/>
        <v>1928.2055021990845</v>
      </c>
      <c r="I29" s="38">
        <f t="shared" si="9"/>
        <v>283.33295933937688</v>
      </c>
      <c r="J29" s="79"/>
      <c r="K29" s="79"/>
      <c r="L29" s="38"/>
      <c r="M29" s="38"/>
      <c r="N29">
        <f t="shared" si="6"/>
        <v>0</v>
      </c>
      <c r="O29">
        <f t="shared" si="7"/>
        <v>0</v>
      </c>
    </row>
    <row r="30" spans="1:21" x14ac:dyDescent="0.25">
      <c r="A30" s="4">
        <f t="shared" si="10"/>
        <v>0.91999999999999993</v>
      </c>
      <c r="B30" s="30">
        <f t="shared" si="3"/>
        <v>10961.538461538459</v>
      </c>
      <c r="C30" s="30">
        <f t="shared" si="4"/>
        <v>302.87999999999982</v>
      </c>
      <c r="D30" s="30">
        <f t="shared" si="5"/>
        <v>375.4090233019333</v>
      </c>
      <c r="E30" s="38">
        <f t="shared" si="0"/>
        <v>2192.3076923076919</v>
      </c>
      <c r="F30" s="39">
        <f t="shared" si="1"/>
        <v>548.07692307692298</v>
      </c>
      <c r="G30" s="39">
        <f t="shared" si="2"/>
        <v>563.11353495289995</v>
      </c>
      <c r="H30" s="39">
        <f t="shared" si="8"/>
        <v>1911.1904580298228</v>
      </c>
      <c r="I30" s="38">
        <f t="shared" si="9"/>
        <v>281.1172342778691</v>
      </c>
      <c r="J30" s="79"/>
      <c r="K30" t="s">
        <v>179</v>
      </c>
      <c r="M30" s="38"/>
      <c r="N30">
        <f t="shared" si="6"/>
        <v>0</v>
      </c>
      <c r="O30">
        <f t="shared" si="7"/>
        <v>0</v>
      </c>
      <c r="T30" s="79"/>
    </row>
    <row r="31" spans="1:21" x14ac:dyDescent="0.25">
      <c r="A31" s="4">
        <f t="shared" si="10"/>
        <v>0.91499999999999992</v>
      </c>
      <c r="B31" s="30">
        <f t="shared" si="3"/>
        <v>10865.384615384612</v>
      </c>
      <c r="C31" s="30">
        <f t="shared" si="4"/>
        <v>297.62624999999986</v>
      </c>
      <c r="D31" s="30">
        <f t="shared" si="5"/>
        <v>367.37745135856545</v>
      </c>
      <c r="E31" s="38">
        <f t="shared" si="0"/>
        <v>2173.0769230769224</v>
      </c>
      <c r="F31" s="39">
        <f t="shared" si="1"/>
        <v>543.2692307692306</v>
      </c>
      <c r="G31" s="39">
        <f t="shared" si="2"/>
        <v>551.06617703784821</v>
      </c>
      <c r="H31" s="39">
        <f t="shared" si="8"/>
        <v>1894.3354078070788</v>
      </c>
      <c r="I31" s="38">
        <f t="shared" si="9"/>
        <v>278.7415152698436</v>
      </c>
      <c r="J31" s="79"/>
      <c r="K31" s="104" t="s">
        <v>219</v>
      </c>
      <c r="L31" s="105">
        <f>MAX(I14:I114)</f>
        <v>296.20088796752862</v>
      </c>
      <c r="M31" s="38"/>
      <c r="N31">
        <f t="shared" si="6"/>
        <v>0</v>
      </c>
      <c r="O31">
        <f t="shared" si="7"/>
        <v>0</v>
      </c>
      <c r="T31" s="79"/>
    </row>
    <row r="32" spans="1:21" ht="18" x14ac:dyDescent="0.35">
      <c r="A32" s="4">
        <f t="shared" si="10"/>
        <v>0.90999999999999992</v>
      </c>
      <c r="B32" s="30">
        <f t="shared" si="3"/>
        <v>10769.230769230766</v>
      </c>
      <c r="C32" s="30">
        <f t="shared" si="4"/>
        <v>292.39499999999992</v>
      </c>
      <c r="D32" s="30">
        <f t="shared" si="5"/>
        <v>359.45048865941345</v>
      </c>
      <c r="E32" s="38">
        <f t="shared" si="0"/>
        <v>2153.8461538461534</v>
      </c>
      <c r="F32" s="39">
        <f t="shared" si="1"/>
        <v>538.46153846153834</v>
      </c>
      <c r="G32" s="39">
        <f t="shared" si="2"/>
        <v>539.17573298912021</v>
      </c>
      <c r="H32" s="39">
        <f t="shared" si="8"/>
        <v>1877.6372714506585</v>
      </c>
      <c r="I32" s="38">
        <f t="shared" si="9"/>
        <v>276.20888239549481</v>
      </c>
      <c r="J32" s="79"/>
      <c r="K32" s="55" t="s">
        <v>218</v>
      </c>
      <c r="L32" s="106">
        <f>MAX(N14:N114)</f>
        <v>490.35325417549376</v>
      </c>
      <c r="M32" s="38"/>
      <c r="N32" s="93">
        <f t="shared" si="6"/>
        <v>0</v>
      </c>
      <c r="O32">
        <f t="shared" si="7"/>
        <v>0</v>
      </c>
      <c r="T32" s="79"/>
    </row>
    <row r="33" spans="1:15" ht="18" x14ac:dyDescent="0.35">
      <c r="A33" s="4">
        <f t="shared" si="10"/>
        <v>0.90499999999999992</v>
      </c>
      <c r="B33" s="30">
        <f t="shared" si="3"/>
        <v>10673.07692307692</v>
      </c>
      <c r="C33" s="30">
        <f t="shared" si="4"/>
        <v>287.18624999999992</v>
      </c>
      <c r="D33" s="30">
        <f t="shared" si="5"/>
        <v>351.62613446792864</v>
      </c>
      <c r="E33" s="38">
        <f t="shared" si="0"/>
        <v>2134.6153846153843</v>
      </c>
      <c r="F33" s="39">
        <f t="shared" si="1"/>
        <v>533.65384615384608</v>
      </c>
      <c r="G33" s="39">
        <f t="shared" si="2"/>
        <v>527.4392017018929</v>
      </c>
      <c r="H33" s="39">
        <f t="shared" si="8"/>
        <v>1861.0930478557389</v>
      </c>
      <c r="I33" s="38">
        <f t="shared" si="9"/>
        <v>273.52233675964544</v>
      </c>
      <c r="J33" s="79"/>
      <c r="K33" s="56" t="s">
        <v>67</v>
      </c>
      <c r="L33" s="107">
        <f>MAX(O14:O114)</f>
        <v>0.98499999999999999</v>
      </c>
      <c r="M33" s="38"/>
      <c r="N33">
        <f t="shared" si="6"/>
        <v>0</v>
      </c>
      <c r="O33">
        <f t="shared" si="7"/>
        <v>0</v>
      </c>
    </row>
    <row r="34" spans="1:15" x14ac:dyDescent="0.25">
      <c r="A34" s="4">
        <f t="shared" si="10"/>
        <v>0.89999999999999991</v>
      </c>
      <c r="B34" s="30">
        <f t="shared" si="3"/>
        <v>10576.923076923074</v>
      </c>
      <c r="C34" s="30">
        <f t="shared" si="4"/>
        <v>282</v>
      </c>
      <c r="D34" s="30">
        <f t="shared" si="5"/>
        <v>343.90243902439016</v>
      </c>
      <c r="E34" s="38">
        <f t="shared" si="0"/>
        <v>2115.3846153846148</v>
      </c>
      <c r="F34" s="39">
        <f t="shared" si="1"/>
        <v>528.8461538461537</v>
      </c>
      <c r="G34" s="39">
        <f t="shared" si="2"/>
        <v>515.85365853658527</v>
      </c>
      <c r="H34" s="39">
        <f t="shared" si="8"/>
        <v>1844.6998123827389</v>
      </c>
      <c r="I34" s="38">
        <f t="shared" si="9"/>
        <v>270.68480300187593</v>
      </c>
      <c r="J34" s="79"/>
      <c r="M34" s="38"/>
      <c r="N34">
        <f t="shared" si="6"/>
        <v>0</v>
      </c>
      <c r="O34">
        <f t="shared" si="7"/>
        <v>0</v>
      </c>
    </row>
    <row r="35" spans="1:15" x14ac:dyDescent="0.25">
      <c r="A35" s="4">
        <f t="shared" si="10"/>
        <v>0.89499999999999991</v>
      </c>
      <c r="B35" s="30">
        <f t="shared" si="3"/>
        <v>10480.769230769229</v>
      </c>
      <c r="C35" s="30">
        <f t="shared" si="4"/>
        <v>276.83624999999989</v>
      </c>
      <c r="D35" s="30">
        <f t="shared" si="5"/>
        <v>336.27750193595398</v>
      </c>
      <c r="E35" s="38">
        <f t="shared" si="0"/>
        <v>2096.1538461538457</v>
      </c>
      <c r="F35" s="39">
        <f t="shared" si="1"/>
        <v>524.03846153846143</v>
      </c>
      <c r="G35" s="39">
        <f t="shared" si="2"/>
        <v>504.41625290393097</v>
      </c>
      <c r="H35" s="39">
        <f t="shared" si="8"/>
        <v>1828.4547144423923</v>
      </c>
      <c r="I35" s="38">
        <f t="shared" si="9"/>
        <v>267.69913171145345</v>
      </c>
      <c r="J35" s="79"/>
      <c r="M35" s="38"/>
      <c r="N35">
        <f t="shared" si="6"/>
        <v>0</v>
      </c>
      <c r="O35">
        <f t="shared" si="7"/>
        <v>0</v>
      </c>
    </row>
    <row r="36" spans="1:15" x14ac:dyDescent="0.25">
      <c r="A36" s="4">
        <f t="shared" si="10"/>
        <v>0.8899999999999999</v>
      </c>
      <c r="B36" s="30">
        <f t="shared" si="3"/>
        <v>10384.615384615383</v>
      </c>
      <c r="C36" s="30">
        <f t="shared" si="4"/>
        <v>271.69499999999982</v>
      </c>
      <c r="D36" s="30">
        <f t="shared" si="5"/>
        <v>328.74947062738198</v>
      </c>
      <c r="E36" s="38">
        <f t="shared" si="0"/>
        <v>2076.9230769230767</v>
      </c>
      <c r="F36" s="39">
        <f t="shared" si="1"/>
        <v>519.23076923076917</v>
      </c>
      <c r="G36" s="39">
        <f t="shared" si="2"/>
        <v>493.124205941073</v>
      </c>
      <c r="H36" s="39">
        <f t="shared" si="8"/>
        <v>1812.3549751718422</v>
      </c>
      <c r="I36" s="38">
        <f t="shared" si="9"/>
        <v>264.56810175123451</v>
      </c>
      <c r="J36" s="79"/>
      <c r="M36" s="38"/>
      <c r="N36">
        <f t="shared" si="6"/>
        <v>0</v>
      </c>
      <c r="O36">
        <f t="shared" si="7"/>
        <v>0</v>
      </c>
    </row>
    <row r="37" spans="1:15" x14ac:dyDescent="0.25">
      <c r="A37" s="4">
        <f t="shared" si="10"/>
        <v>0.8849999999999999</v>
      </c>
      <c r="B37" s="30">
        <f t="shared" si="3"/>
        <v>10288.461538461537</v>
      </c>
      <c r="C37" s="30">
        <f t="shared" si="4"/>
        <v>266.57625000000002</v>
      </c>
      <c r="D37" s="30">
        <f t="shared" si="5"/>
        <v>321.31653884979886</v>
      </c>
      <c r="E37" s="38">
        <f t="shared" si="0"/>
        <v>2057.6923076923076</v>
      </c>
      <c r="F37" s="39">
        <f t="shared" si="1"/>
        <v>514.42307692307691</v>
      </c>
      <c r="G37" s="39">
        <f t="shared" si="2"/>
        <v>481.97480827469826</v>
      </c>
      <c r="H37" s="39">
        <f t="shared" si="8"/>
        <v>1796.3978851977752</v>
      </c>
      <c r="I37" s="38">
        <f t="shared" si="9"/>
        <v>261.29442249453245</v>
      </c>
      <c r="J37" s="79"/>
      <c r="K37" s="79"/>
      <c r="L37" s="38"/>
      <c r="M37" s="38"/>
      <c r="N37">
        <f t="shared" si="6"/>
        <v>0</v>
      </c>
      <c r="O37">
        <f t="shared" si="7"/>
        <v>0</v>
      </c>
    </row>
    <row r="38" spans="1:15" x14ac:dyDescent="0.25">
      <c r="A38" s="4">
        <f t="shared" si="10"/>
        <v>0.87999999999999989</v>
      </c>
      <c r="B38" s="30">
        <f t="shared" si="3"/>
        <v>10192.307692307688</v>
      </c>
      <c r="C38" s="30">
        <f t="shared" si="4"/>
        <v>261.47999999999996</v>
      </c>
      <c r="D38" s="30">
        <f t="shared" si="5"/>
        <v>313.97694524495671</v>
      </c>
      <c r="E38" s="38">
        <f t="shared" si="0"/>
        <v>2038.4615384615377</v>
      </c>
      <c r="F38" s="39">
        <f t="shared" si="1"/>
        <v>509.61538461538441</v>
      </c>
      <c r="G38" s="39">
        <f t="shared" si="2"/>
        <v>470.96541786743506</v>
      </c>
      <c r="H38" s="39">
        <f t="shared" si="8"/>
        <v>1780.5808024828195</v>
      </c>
      <c r="I38" s="38">
        <f t="shared" si="9"/>
        <v>257.88073597871812</v>
      </c>
      <c r="J38" s="79"/>
      <c r="K38" s="79"/>
      <c r="L38" s="38"/>
      <c r="M38" s="38"/>
      <c r="N38">
        <f t="shared" si="6"/>
        <v>0</v>
      </c>
      <c r="O38">
        <f t="shared" si="7"/>
        <v>0</v>
      </c>
    </row>
    <row r="39" spans="1:15" x14ac:dyDescent="0.25">
      <c r="A39" s="4">
        <f t="shared" si="10"/>
        <v>0.87499999999999989</v>
      </c>
      <c r="B39" s="30">
        <f t="shared" si="3"/>
        <v>10096.153846153842</v>
      </c>
      <c r="C39" s="30">
        <f t="shared" si="4"/>
        <v>256.40624999999989</v>
      </c>
      <c r="D39" s="30">
        <f t="shared" si="5"/>
        <v>306.72897196261664</v>
      </c>
      <c r="E39" s="38">
        <f t="shared" si="0"/>
        <v>2019.2307692307686</v>
      </c>
      <c r="F39" s="39">
        <f t="shared" si="1"/>
        <v>504.80769230769215</v>
      </c>
      <c r="G39" s="39">
        <f t="shared" si="2"/>
        <v>460.09345794392493</v>
      </c>
      <c r="H39" s="39">
        <f t="shared" si="8"/>
        <v>1764.9011502516171</v>
      </c>
      <c r="I39" s="38">
        <f t="shared" si="9"/>
        <v>254.32961897915152</v>
      </c>
      <c r="J39" s="79"/>
      <c r="K39" s="79"/>
      <c r="L39" s="38"/>
      <c r="M39" s="38"/>
      <c r="N39">
        <f t="shared" si="6"/>
        <v>0</v>
      </c>
      <c r="O39">
        <f t="shared" si="7"/>
        <v>0</v>
      </c>
    </row>
    <row r="40" spans="1:15" x14ac:dyDescent="0.25">
      <c r="A40" s="4">
        <f t="shared" si="10"/>
        <v>0.86999999999999988</v>
      </c>
      <c r="B40" s="30">
        <f t="shared" si="3"/>
        <v>9999.9999999999964</v>
      </c>
      <c r="C40" s="30">
        <f t="shared" si="4"/>
        <v>251.3549999999999</v>
      </c>
      <c r="D40" s="30">
        <f t="shared" si="5"/>
        <v>299.57094332876454</v>
      </c>
      <c r="E40" s="38">
        <f t="shared" si="0"/>
        <v>1999.9999999999993</v>
      </c>
      <c r="F40" s="39">
        <f t="shared" si="1"/>
        <v>499.99999999999983</v>
      </c>
      <c r="G40" s="39">
        <f t="shared" si="2"/>
        <v>449.35641499314681</v>
      </c>
      <c r="H40" s="39">
        <f t="shared" si="8"/>
        <v>1749.3564149931467</v>
      </c>
      <c r="I40" s="38">
        <f t="shared" si="9"/>
        <v>250.64358500685262</v>
      </c>
      <c r="J40" s="79"/>
      <c r="K40" s="79"/>
      <c r="L40" s="38"/>
      <c r="M40" s="38"/>
      <c r="N40">
        <f t="shared" si="6"/>
        <v>0</v>
      </c>
      <c r="O40">
        <f t="shared" si="7"/>
        <v>0</v>
      </c>
    </row>
    <row r="41" spans="1:15" x14ac:dyDescent="0.25">
      <c r="A41" s="4">
        <f t="shared" si="10"/>
        <v>0.86499999999999988</v>
      </c>
      <c r="B41" s="30">
        <f t="shared" si="3"/>
        <v>9903.8461538461506</v>
      </c>
      <c r="C41" s="30">
        <f t="shared" si="4"/>
        <v>246.32624999999979</v>
      </c>
      <c r="D41" s="30">
        <f t="shared" si="5"/>
        <v>292.50122456249687</v>
      </c>
      <c r="E41" s="38">
        <f t="shared" si="0"/>
        <v>1980.7692307692303</v>
      </c>
      <c r="F41" s="39">
        <f t="shared" si="1"/>
        <v>495.19230769230757</v>
      </c>
      <c r="G41" s="39">
        <f t="shared" si="2"/>
        <v>438.75183684374531</v>
      </c>
      <c r="H41" s="39">
        <f t="shared" si="8"/>
        <v>1733.9441445360528</v>
      </c>
      <c r="I41" s="38">
        <f t="shared" si="9"/>
        <v>246.82508623317744</v>
      </c>
      <c r="J41" s="79"/>
      <c r="K41" s="79"/>
      <c r="L41" s="38"/>
      <c r="M41" s="38"/>
      <c r="N41">
        <f t="shared" si="6"/>
        <v>0</v>
      </c>
      <c r="O41">
        <f t="shared" si="7"/>
        <v>0</v>
      </c>
    </row>
    <row r="42" spans="1:15" x14ac:dyDescent="0.25">
      <c r="A42" s="4">
        <f t="shared" si="10"/>
        <v>0.85999999999999988</v>
      </c>
      <c r="B42" s="30">
        <f t="shared" si="3"/>
        <v>9807.6923076923049</v>
      </c>
      <c r="C42" s="30">
        <f t="shared" si="4"/>
        <v>241.31999999999991</v>
      </c>
      <c r="D42" s="30">
        <f t="shared" si="5"/>
        <v>285.51822053951719</v>
      </c>
      <c r="E42" s="38">
        <f t="shared" si="0"/>
        <v>1961.538461538461</v>
      </c>
      <c r="F42" s="39">
        <f t="shared" si="1"/>
        <v>490.38461538461524</v>
      </c>
      <c r="G42" s="39">
        <f t="shared" si="2"/>
        <v>428.27733080927578</v>
      </c>
      <c r="H42" s="39">
        <f t="shared" si="8"/>
        <v>1718.661946193891</v>
      </c>
      <c r="I42" s="38">
        <f t="shared" si="9"/>
        <v>242.87651534456995</v>
      </c>
      <c r="J42" s="79"/>
      <c r="K42" s="79"/>
      <c r="L42" s="38"/>
      <c r="M42" s="38"/>
      <c r="N42">
        <f t="shared" si="6"/>
        <v>0</v>
      </c>
      <c r="O42">
        <f t="shared" si="7"/>
        <v>0</v>
      </c>
    </row>
    <row r="43" spans="1:15" x14ac:dyDescent="0.25">
      <c r="A43" s="4">
        <f t="shared" si="10"/>
        <v>0.85499999999999987</v>
      </c>
      <c r="B43" s="30">
        <f t="shared" si="3"/>
        <v>9711.5384615384592</v>
      </c>
      <c r="C43" s="30">
        <f t="shared" si="4"/>
        <v>236.33624999999984</v>
      </c>
      <c r="D43" s="30">
        <f t="shared" si="5"/>
        <v>278.62037460027392</v>
      </c>
      <c r="E43" s="38">
        <f t="shared" si="0"/>
        <v>1942.3076923076919</v>
      </c>
      <c r="F43" s="39">
        <f t="shared" si="1"/>
        <v>485.57692307692298</v>
      </c>
      <c r="G43" s="39">
        <f t="shared" si="2"/>
        <v>417.93056190041091</v>
      </c>
      <c r="H43" s="39">
        <f t="shared" si="8"/>
        <v>1703.5074849773339</v>
      </c>
      <c r="I43" s="38">
        <f t="shared" si="9"/>
        <v>238.80020733035803</v>
      </c>
      <c r="J43" s="79"/>
      <c r="K43" s="79"/>
      <c r="L43" s="38"/>
      <c r="M43" s="38"/>
      <c r="N43">
        <f t="shared" si="6"/>
        <v>0</v>
      </c>
      <c r="O43">
        <f t="shared" si="7"/>
        <v>0</v>
      </c>
    </row>
    <row r="44" spans="1:15" x14ac:dyDescent="0.25">
      <c r="A44" s="4">
        <f t="shared" si="10"/>
        <v>0.84999999999999987</v>
      </c>
      <c r="B44" s="30">
        <f t="shared" si="3"/>
        <v>9615.3846153846098</v>
      </c>
      <c r="C44" s="30">
        <f t="shared" si="4"/>
        <v>231.37499999999986</v>
      </c>
      <c r="D44" s="30">
        <f t="shared" si="5"/>
        <v>271.8061674008809</v>
      </c>
      <c r="E44" s="38">
        <f t="shared" si="0"/>
        <v>1923.076923076922</v>
      </c>
      <c r="F44" s="39">
        <f t="shared" si="1"/>
        <v>480.76923076923049</v>
      </c>
      <c r="G44" s="39">
        <f t="shared" si="2"/>
        <v>407.70925110132134</v>
      </c>
      <c r="H44" s="39">
        <f t="shared" si="8"/>
        <v>1688.4784818705518</v>
      </c>
      <c r="I44" s="38">
        <f t="shared" si="9"/>
        <v>234.59844120637013</v>
      </c>
      <c r="J44" s="79"/>
      <c r="K44" s="79"/>
      <c r="L44" s="38"/>
      <c r="M44" s="38"/>
      <c r="N44">
        <f t="shared" si="6"/>
        <v>0</v>
      </c>
      <c r="O44">
        <f t="shared" si="7"/>
        <v>0</v>
      </c>
    </row>
    <row r="45" spans="1:15" x14ac:dyDescent="0.25">
      <c r="A45" s="4">
        <f t="shared" si="10"/>
        <v>0.84499999999999986</v>
      </c>
      <c r="B45" s="30">
        <f t="shared" si="3"/>
        <v>9519.2307692307641</v>
      </c>
      <c r="C45" s="30">
        <f t="shared" si="4"/>
        <v>226.43624999999992</v>
      </c>
      <c r="D45" s="30">
        <f t="shared" si="5"/>
        <v>265.07411580503071</v>
      </c>
      <c r="E45" s="38">
        <f t="shared" ref="E45:E76" si="11">C$6*B45</f>
        <v>1903.8461538461529</v>
      </c>
      <c r="F45" s="39">
        <f t="shared" ref="F45:F76" si="12">D$6*B45</f>
        <v>475.96153846153823</v>
      </c>
      <c r="G45" s="39">
        <f t="shared" ref="G45:G76" si="13">E$6*10*D45</f>
        <v>397.61117370754607</v>
      </c>
      <c r="H45" s="39">
        <f t="shared" si="8"/>
        <v>1673.5727121690843</v>
      </c>
      <c r="I45" s="38">
        <f t="shared" si="9"/>
        <v>230.2734416770686</v>
      </c>
      <c r="J45" s="79"/>
      <c r="K45" s="79"/>
      <c r="L45" s="38"/>
      <c r="M45" s="38"/>
      <c r="N45">
        <f t="shared" si="6"/>
        <v>0</v>
      </c>
      <c r="O45">
        <f t="shared" si="7"/>
        <v>0</v>
      </c>
    </row>
    <row r="46" spans="1:15" x14ac:dyDescent="0.25">
      <c r="A46" s="4">
        <f t="shared" si="10"/>
        <v>0.83999999999999986</v>
      </c>
      <c r="B46" s="30">
        <f t="shared" ref="B46:B77" si="14">B$6*(MAX(0,U$5+U$6*A46+U$7*A46^2))</f>
        <v>9423.0769230769183</v>
      </c>
      <c r="C46" s="30">
        <f t="shared" ref="C46:C77" si="15">MAX(A46*S$17-S$18*(MIN(1,U$8+U$9*A46+U$10*A46^2))-S$19*(MIN(1,U$11+U$12*A46+U$13*A46^2)),0)</f>
        <v>221.5199999999999</v>
      </c>
      <c r="D46" s="30">
        <f t="shared" ref="D46:D77" si="16">C46/(MIN(1,U$14+U$15*A46+U$16*A46^2))</f>
        <v>258.42277181521217</v>
      </c>
      <c r="E46" s="38">
        <f t="shared" si="11"/>
        <v>1884.6153846153838</v>
      </c>
      <c r="F46" s="39">
        <f t="shared" si="12"/>
        <v>471.15384615384596</v>
      </c>
      <c r="G46" s="39">
        <f t="shared" si="13"/>
        <v>387.63415772281826</v>
      </c>
      <c r="H46" s="39">
        <f t="shared" si="8"/>
        <v>1658.7880038766643</v>
      </c>
      <c r="I46" s="38">
        <f t="shared" si="9"/>
        <v>225.82738073871951</v>
      </c>
      <c r="J46" s="79"/>
      <c r="K46" s="79"/>
      <c r="L46" s="38"/>
      <c r="M46" s="38"/>
      <c r="N46">
        <f t="shared" ref="N46:N77" si="17">IF($I46=$L$31,D46,0)</f>
        <v>0</v>
      </c>
      <c r="O46">
        <f t="shared" ref="O46:O77" si="18">IF($I46=$L$31,A46,0)</f>
        <v>0</v>
      </c>
    </row>
    <row r="47" spans="1:15" x14ac:dyDescent="0.25">
      <c r="A47" s="4">
        <f t="shared" si="10"/>
        <v>0.83499999999999985</v>
      </c>
      <c r="B47" s="30">
        <f t="shared" si="14"/>
        <v>9326.9230769230726</v>
      </c>
      <c r="C47" s="30">
        <f t="shared" si="15"/>
        <v>216.62624999999991</v>
      </c>
      <c r="D47" s="30">
        <f t="shared" si="16"/>
        <v>251.85072154161386</v>
      </c>
      <c r="E47" s="38">
        <f t="shared" si="11"/>
        <v>1865.3846153846146</v>
      </c>
      <c r="F47" s="39">
        <f t="shared" si="12"/>
        <v>466.34615384615364</v>
      </c>
      <c r="G47" s="39">
        <f t="shared" si="13"/>
        <v>377.77608231242078</v>
      </c>
      <c r="H47" s="39">
        <f t="shared" si="8"/>
        <v>1644.1222361585744</v>
      </c>
      <c r="I47" s="38">
        <f t="shared" si="9"/>
        <v>221.26237922604014</v>
      </c>
      <c r="J47" s="79"/>
      <c r="K47" s="79"/>
      <c r="L47" s="38"/>
      <c r="M47" s="38"/>
      <c r="N47">
        <f t="shared" si="17"/>
        <v>0</v>
      </c>
      <c r="O47">
        <f t="shared" si="18"/>
        <v>0</v>
      </c>
    </row>
    <row r="48" spans="1:15" x14ac:dyDescent="0.25">
      <c r="A48" s="4">
        <f t="shared" si="10"/>
        <v>0.82999999999999985</v>
      </c>
      <c r="B48" s="30">
        <f t="shared" si="14"/>
        <v>9230.7692307692269</v>
      </c>
      <c r="C48" s="30">
        <f t="shared" si="15"/>
        <v>211.75499999999982</v>
      </c>
      <c r="D48" s="30">
        <f t="shared" si="16"/>
        <v>245.35658420717201</v>
      </c>
      <c r="E48" s="38">
        <f t="shared" si="11"/>
        <v>1846.1538461538455</v>
      </c>
      <c r="F48" s="39">
        <f t="shared" si="12"/>
        <v>461.53846153846138</v>
      </c>
      <c r="G48" s="39">
        <f t="shared" si="13"/>
        <v>368.03487631075802</v>
      </c>
      <c r="H48" s="39">
        <f t="shared" si="8"/>
        <v>1629.5733378492193</v>
      </c>
      <c r="I48" s="38">
        <f t="shared" si="9"/>
        <v>216.58050830462616</v>
      </c>
      <c r="J48" s="79"/>
      <c r="K48" s="79"/>
      <c r="L48" s="38"/>
      <c r="M48" s="38"/>
      <c r="N48">
        <f t="shared" si="17"/>
        <v>0</v>
      </c>
      <c r="O48">
        <f t="shared" si="18"/>
        <v>0</v>
      </c>
    </row>
    <row r="49" spans="1:15" x14ac:dyDescent="0.25">
      <c r="A49" s="4">
        <f t="shared" si="10"/>
        <v>0.82499999999999984</v>
      </c>
      <c r="B49" s="30">
        <f t="shared" si="14"/>
        <v>9134.6153846153811</v>
      </c>
      <c r="C49" s="30">
        <f t="shared" si="15"/>
        <v>206.90624999999977</v>
      </c>
      <c r="D49" s="30">
        <f t="shared" si="16"/>
        <v>238.93901118729667</v>
      </c>
      <c r="E49" s="38">
        <f t="shared" si="11"/>
        <v>1826.9230769230762</v>
      </c>
      <c r="F49" s="39">
        <f t="shared" si="12"/>
        <v>456.73076923076906</v>
      </c>
      <c r="G49" s="39">
        <f t="shared" si="13"/>
        <v>358.40851678094498</v>
      </c>
      <c r="H49" s="39">
        <f t="shared" si="8"/>
        <v>1615.1392860117139</v>
      </c>
      <c r="I49" s="38">
        <f t="shared" si="9"/>
        <v>211.7837909113623</v>
      </c>
      <c r="J49" s="79"/>
      <c r="K49" s="79"/>
      <c r="L49" s="38"/>
      <c r="M49" s="38"/>
      <c r="N49">
        <f t="shared" si="17"/>
        <v>0</v>
      </c>
      <c r="O49">
        <f t="shared" si="18"/>
        <v>0</v>
      </c>
    </row>
    <row r="50" spans="1:15" x14ac:dyDescent="0.25">
      <c r="A50" s="4">
        <f t="shared" si="10"/>
        <v>0.81999999999999984</v>
      </c>
      <c r="B50" s="30">
        <f t="shared" si="14"/>
        <v>9038.4615384615354</v>
      </c>
      <c r="C50" s="30">
        <f t="shared" si="15"/>
        <v>202.0799999999999</v>
      </c>
      <c r="D50" s="30">
        <f t="shared" si="16"/>
        <v>232.59668508287274</v>
      </c>
      <c r="E50" s="38">
        <f t="shared" si="11"/>
        <v>1807.6923076923072</v>
      </c>
      <c r="F50" s="39">
        <f t="shared" si="12"/>
        <v>451.92307692307679</v>
      </c>
      <c r="G50" s="39">
        <f t="shared" si="13"/>
        <v>348.89502762430914</v>
      </c>
      <c r="H50" s="39">
        <f t="shared" si="8"/>
        <v>1600.8181045473859</v>
      </c>
      <c r="I50" s="38">
        <f t="shared" si="9"/>
        <v>206.87420314492124</v>
      </c>
      <c r="J50" s="79"/>
      <c r="K50" s="79"/>
      <c r="L50" s="38"/>
      <c r="M50" s="38"/>
      <c r="N50">
        <f t="shared" si="17"/>
        <v>0</v>
      </c>
      <c r="O50">
        <f t="shared" si="18"/>
        <v>0</v>
      </c>
    </row>
    <row r="51" spans="1:15" x14ac:dyDescent="0.25">
      <c r="A51" s="4">
        <f t="shared" si="10"/>
        <v>0.81499999999999984</v>
      </c>
      <c r="B51" s="30">
        <f t="shared" si="14"/>
        <v>8942.307692307686</v>
      </c>
      <c r="C51" s="30">
        <f t="shared" si="15"/>
        <v>197.27624999999989</v>
      </c>
      <c r="D51" s="30">
        <f t="shared" si="16"/>
        <v>226.32831882519955</v>
      </c>
      <c r="E51" s="38">
        <f t="shared" si="11"/>
        <v>1788.4615384615372</v>
      </c>
      <c r="F51" s="39">
        <f t="shared" si="12"/>
        <v>447.1153846153843</v>
      </c>
      <c r="G51" s="39">
        <f t="shared" si="13"/>
        <v>339.49247823779933</v>
      </c>
      <c r="H51" s="39">
        <f t="shared" si="8"/>
        <v>1586.6078628531836</v>
      </c>
      <c r="I51" s="38">
        <f t="shared" si="9"/>
        <v>201.85367560835357</v>
      </c>
      <c r="J51" s="79"/>
      <c r="K51" s="79"/>
      <c r="L51" s="38"/>
      <c r="M51" s="38"/>
      <c r="N51">
        <f t="shared" si="17"/>
        <v>0</v>
      </c>
      <c r="O51">
        <f t="shared" si="18"/>
        <v>0</v>
      </c>
    </row>
    <row r="52" spans="1:15" x14ac:dyDescent="0.25">
      <c r="A52" s="4">
        <f t="shared" si="10"/>
        <v>0.80999999999999983</v>
      </c>
      <c r="B52" s="30">
        <f t="shared" si="14"/>
        <v>8846.1538461538403</v>
      </c>
      <c r="C52" s="30">
        <f t="shared" si="15"/>
        <v>192.49499999999981</v>
      </c>
      <c r="D52" s="30">
        <f t="shared" si="16"/>
        <v>220.13265481159561</v>
      </c>
      <c r="E52" s="38">
        <f t="shared" si="11"/>
        <v>1769.2307692307681</v>
      </c>
      <c r="F52" s="39">
        <f t="shared" si="12"/>
        <v>442.30769230769204</v>
      </c>
      <c r="G52" s="39">
        <f t="shared" si="13"/>
        <v>330.19898221739345</v>
      </c>
      <c r="H52" s="39">
        <f t="shared" si="8"/>
        <v>1572.5066745250856</v>
      </c>
      <c r="I52" s="38">
        <f t="shared" si="9"/>
        <v>196.72409470568255</v>
      </c>
      <c r="J52" s="79"/>
      <c r="K52" s="79"/>
      <c r="L52" s="38"/>
      <c r="M52" s="38"/>
      <c r="N52">
        <f t="shared" si="17"/>
        <v>0</v>
      </c>
      <c r="O52">
        <f t="shared" si="18"/>
        <v>0</v>
      </c>
    </row>
    <row r="53" spans="1:15" x14ac:dyDescent="0.25">
      <c r="A53" s="4">
        <f t="shared" si="10"/>
        <v>0.80499999999999983</v>
      </c>
      <c r="B53" s="30">
        <f t="shared" si="14"/>
        <v>8749.9999999999945</v>
      </c>
      <c r="C53" s="30">
        <f t="shared" si="15"/>
        <v>187.73624999999987</v>
      </c>
      <c r="D53" s="30">
        <f t="shared" si="16"/>
        <v>214.00846407044824</v>
      </c>
      <c r="E53" s="38">
        <f t="shared" si="11"/>
        <v>1749.9999999999991</v>
      </c>
      <c r="F53" s="39">
        <f t="shared" si="12"/>
        <v>437.49999999999977</v>
      </c>
      <c r="G53" s="39">
        <f t="shared" si="13"/>
        <v>321.01269610567238</v>
      </c>
      <c r="H53" s="39">
        <f t="shared" si="8"/>
        <v>1558.5126961056721</v>
      </c>
      <c r="I53" s="38">
        <f t="shared" si="9"/>
        <v>191.48730389432694</v>
      </c>
      <c r="J53" s="79"/>
      <c r="K53" s="79"/>
      <c r="L53" s="38"/>
      <c r="M53" s="38"/>
      <c r="N53">
        <f t="shared" si="17"/>
        <v>0</v>
      </c>
      <c r="O53">
        <f t="shared" si="18"/>
        <v>0</v>
      </c>
    </row>
    <row r="54" spans="1:15" x14ac:dyDescent="0.25">
      <c r="A54" s="4">
        <f t="shared" si="10"/>
        <v>0.79999999999999982</v>
      </c>
      <c r="B54" s="30">
        <f t="shared" si="14"/>
        <v>8653.8461538461488</v>
      </c>
      <c r="C54" s="30">
        <f t="shared" si="15"/>
        <v>182.99999999999977</v>
      </c>
      <c r="D54" s="30">
        <f t="shared" si="16"/>
        <v>207.95454545454515</v>
      </c>
      <c r="E54" s="38">
        <f t="shared" si="11"/>
        <v>1730.7692307692298</v>
      </c>
      <c r="F54" s="39">
        <f t="shared" si="12"/>
        <v>432.69230769230745</v>
      </c>
      <c r="G54" s="39">
        <f t="shared" si="13"/>
        <v>311.93181818181773</v>
      </c>
      <c r="H54" s="39">
        <f t="shared" si="8"/>
        <v>1544.6241258741252</v>
      </c>
      <c r="I54" s="38">
        <f t="shared" si="9"/>
        <v>186.14510489510462</v>
      </c>
      <c r="J54" s="79"/>
      <c r="K54" s="79"/>
      <c r="L54" s="38"/>
      <c r="M54" s="38"/>
      <c r="N54">
        <f t="shared" si="17"/>
        <v>0</v>
      </c>
      <c r="O54">
        <f t="shared" si="18"/>
        <v>0</v>
      </c>
    </row>
    <row r="55" spans="1:15" x14ac:dyDescent="0.25">
      <c r="A55" s="4">
        <f t="shared" si="10"/>
        <v>0.79499999999999982</v>
      </c>
      <c r="B55" s="30">
        <f t="shared" si="14"/>
        <v>8557.6923076923031</v>
      </c>
      <c r="C55" s="30">
        <f t="shared" si="15"/>
        <v>178.28624999999988</v>
      </c>
      <c r="D55" s="30">
        <f t="shared" si="16"/>
        <v>201.969724861581</v>
      </c>
      <c r="E55" s="38">
        <f t="shared" si="11"/>
        <v>1711.5384615384608</v>
      </c>
      <c r="F55" s="39">
        <f t="shared" si="12"/>
        <v>427.88461538461519</v>
      </c>
      <c r="G55" s="39">
        <f t="shared" si="13"/>
        <v>302.95458729237151</v>
      </c>
      <c r="H55" s="39">
        <f t="shared" si="8"/>
        <v>1530.8392026769866</v>
      </c>
      <c r="I55" s="38">
        <f t="shared" si="9"/>
        <v>180.69925886147416</v>
      </c>
      <c r="J55" s="79"/>
      <c r="K55" s="79"/>
      <c r="L55" s="38"/>
      <c r="M55" s="38"/>
      <c r="N55">
        <f t="shared" si="17"/>
        <v>0</v>
      </c>
      <c r="O55">
        <f t="shared" si="18"/>
        <v>0</v>
      </c>
    </row>
    <row r="56" spans="1:15" x14ac:dyDescent="0.25">
      <c r="A56" s="4">
        <f t="shared" si="10"/>
        <v>0.78999999999999981</v>
      </c>
      <c r="B56" s="30">
        <f t="shared" si="14"/>
        <v>8461.5384615384573</v>
      </c>
      <c r="C56" s="30">
        <f t="shared" si="15"/>
        <v>173.59499999999986</v>
      </c>
      <c r="D56" s="30">
        <f t="shared" si="16"/>
        <v>196.05285448077228</v>
      </c>
      <c r="E56" s="38">
        <f t="shared" si="11"/>
        <v>1692.3076923076915</v>
      </c>
      <c r="F56" s="39">
        <f t="shared" si="12"/>
        <v>423.07692307692287</v>
      </c>
      <c r="G56" s="39">
        <f t="shared" si="13"/>
        <v>294.0792817211584</v>
      </c>
      <c r="H56" s="39">
        <f t="shared" si="8"/>
        <v>1517.1562047980813</v>
      </c>
      <c r="I56" s="38">
        <f t="shared" si="9"/>
        <v>175.15148750961021</v>
      </c>
      <c r="J56" s="79"/>
      <c r="K56" s="79"/>
      <c r="L56" s="38"/>
      <c r="M56" s="38"/>
      <c r="N56">
        <f t="shared" si="17"/>
        <v>0</v>
      </c>
      <c r="O56">
        <f t="shared" si="18"/>
        <v>0</v>
      </c>
    </row>
    <row r="57" spans="1:15" x14ac:dyDescent="0.25">
      <c r="A57" s="4">
        <f t="shared" si="10"/>
        <v>0.78499999999999981</v>
      </c>
      <c r="B57" s="30">
        <f t="shared" si="14"/>
        <v>8365.3846153846116</v>
      </c>
      <c r="C57" s="30">
        <f t="shared" si="15"/>
        <v>168.92624999999975</v>
      </c>
      <c r="D57" s="30">
        <f t="shared" si="16"/>
        <v>190.20281206457301</v>
      </c>
      <c r="E57" s="38">
        <f t="shared" si="11"/>
        <v>1673.0769230769224</v>
      </c>
      <c r="F57" s="39">
        <f t="shared" si="12"/>
        <v>418.2692307692306</v>
      </c>
      <c r="G57" s="39">
        <f t="shared" si="13"/>
        <v>285.30421809685953</v>
      </c>
      <c r="H57" s="39">
        <f t="shared" si="8"/>
        <v>1503.5734488660901</v>
      </c>
      <c r="I57" s="38">
        <f t="shared" si="9"/>
        <v>169.50347421083234</v>
      </c>
      <c r="J57" s="79"/>
      <c r="K57" s="79"/>
      <c r="L57" s="38"/>
      <c r="M57" s="38"/>
      <c r="N57">
        <f t="shared" si="17"/>
        <v>0</v>
      </c>
      <c r="O57">
        <f t="shared" si="18"/>
        <v>0</v>
      </c>
    </row>
    <row r="58" spans="1:15" x14ac:dyDescent="0.25">
      <c r="A58" s="4">
        <f t="shared" si="10"/>
        <v>0.7799999999999998</v>
      </c>
      <c r="B58" s="30">
        <f t="shared" si="14"/>
        <v>8269.2307692307641</v>
      </c>
      <c r="C58" s="30">
        <f t="shared" si="15"/>
        <v>164.2799999999998</v>
      </c>
      <c r="D58" s="30">
        <f t="shared" si="16"/>
        <v>184.41850022451706</v>
      </c>
      <c r="E58" s="38">
        <f t="shared" si="11"/>
        <v>1653.8461538461529</v>
      </c>
      <c r="F58" s="39">
        <f t="shared" si="12"/>
        <v>413.46153846153823</v>
      </c>
      <c r="G58" s="39">
        <f t="shared" si="13"/>
        <v>276.62775033677559</v>
      </c>
      <c r="H58" s="39">
        <f t="shared" si="8"/>
        <v>1490.0892887983139</v>
      </c>
      <c r="I58" s="38">
        <f t="shared" si="9"/>
        <v>163.75686504783903</v>
      </c>
      <c r="J58" s="79"/>
      <c r="K58" s="79"/>
      <c r="L58" s="38"/>
      <c r="M58" s="38"/>
      <c r="N58">
        <f t="shared" si="17"/>
        <v>0</v>
      </c>
      <c r="O58">
        <f t="shared" si="18"/>
        <v>0</v>
      </c>
    </row>
    <row r="59" spans="1:15" x14ac:dyDescent="0.25">
      <c r="A59" s="4">
        <f t="shared" si="10"/>
        <v>0.7749999999999998</v>
      </c>
      <c r="B59" s="30">
        <f t="shared" si="14"/>
        <v>8173.0769230769174</v>
      </c>
      <c r="C59" s="30">
        <f t="shared" si="15"/>
        <v>159.65624999999989</v>
      </c>
      <c r="D59" s="30">
        <f t="shared" si="16"/>
        <v>178.69884575026219</v>
      </c>
      <c r="E59" s="38">
        <f t="shared" si="11"/>
        <v>1634.6153846153836</v>
      </c>
      <c r="F59" s="39">
        <f t="shared" si="12"/>
        <v>408.6538461538459</v>
      </c>
      <c r="G59" s="39">
        <f t="shared" si="13"/>
        <v>268.04826862539329</v>
      </c>
      <c r="H59" s="39">
        <f t="shared" si="8"/>
        <v>1476.7021147792393</v>
      </c>
      <c r="I59" s="38">
        <f t="shared" si="9"/>
        <v>157.91326983614431</v>
      </c>
      <c r="J59" s="79"/>
      <c r="K59" s="79"/>
      <c r="L59" s="38"/>
      <c r="M59" s="38"/>
      <c r="N59">
        <f t="shared" si="17"/>
        <v>0</v>
      </c>
      <c r="O59">
        <f t="shared" si="18"/>
        <v>0</v>
      </c>
    </row>
    <row r="60" spans="1:15" x14ac:dyDescent="0.25">
      <c r="A60" s="4">
        <f t="shared" si="10"/>
        <v>0.7699999999999998</v>
      </c>
      <c r="B60" s="30">
        <f t="shared" si="14"/>
        <v>8076.9230769230717</v>
      </c>
      <c r="C60" s="30">
        <f t="shared" si="15"/>
        <v>155.05499999999972</v>
      </c>
      <c r="D60" s="30">
        <f t="shared" si="16"/>
        <v>173.0427989509511</v>
      </c>
      <c r="E60" s="38">
        <f t="shared" si="11"/>
        <v>1615.3846153846143</v>
      </c>
      <c r="F60" s="39">
        <f t="shared" si="12"/>
        <v>403.84615384615358</v>
      </c>
      <c r="G60" s="39">
        <f t="shared" si="13"/>
        <v>259.56419842642663</v>
      </c>
      <c r="H60" s="39">
        <f t="shared" si="8"/>
        <v>1463.4103522725802</v>
      </c>
      <c r="I60" s="38">
        <f t="shared" si="9"/>
        <v>151.97426311203412</v>
      </c>
      <c r="J60" s="79"/>
      <c r="K60" s="79"/>
      <c r="L60" s="38"/>
      <c r="M60" s="38"/>
      <c r="N60">
        <f t="shared" si="17"/>
        <v>0</v>
      </c>
      <c r="O60">
        <f t="shared" si="18"/>
        <v>0</v>
      </c>
    </row>
    <row r="61" spans="1:15" x14ac:dyDescent="0.25">
      <c r="A61" s="4">
        <f t="shared" si="10"/>
        <v>0.76499999999999979</v>
      </c>
      <c r="B61" s="30">
        <f t="shared" si="14"/>
        <v>7980.7692307692259</v>
      </c>
      <c r="C61" s="30">
        <f t="shared" si="15"/>
        <v>150.47624999999982</v>
      </c>
      <c r="D61" s="30">
        <f t="shared" si="16"/>
        <v>167.44933301804099</v>
      </c>
      <c r="E61" s="38">
        <f t="shared" si="11"/>
        <v>1596.1538461538453</v>
      </c>
      <c r="F61" s="39">
        <f t="shared" si="12"/>
        <v>399.03846153846132</v>
      </c>
      <c r="G61" s="39">
        <f t="shared" si="13"/>
        <v>251.17399952706148</v>
      </c>
      <c r="H61" s="39">
        <f t="shared" si="8"/>
        <v>1450.2124610655228</v>
      </c>
      <c r="I61" s="38">
        <f t="shared" si="9"/>
        <v>145.94138508832248</v>
      </c>
      <c r="J61" s="79"/>
      <c r="K61" s="79"/>
      <c r="L61" s="38"/>
      <c r="M61" s="38"/>
      <c r="N61">
        <f t="shared" si="17"/>
        <v>0</v>
      </c>
      <c r="O61">
        <f t="shared" si="18"/>
        <v>0</v>
      </c>
    </row>
    <row r="62" spans="1:15" x14ac:dyDescent="0.25">
      <c r="A62" s="4">
        <f t="shared" si="10"/>
        <v>0.75999999999999979</v>
      </c>
      <c r="B62" s="30">
        <f t="shared" si="14"/>
        <v>7884.6153846153802</v>
      </c>
      <c r="C62" s="30">
        <f t="shared" si="15"/>
        <v>145.91999999999979</v>
      </c>
      <c r="D62" s="30">
        <f t="shared" si="16"/>
        <v>161.91744340878802</v>
      </c>
      <c r="E62" s="38">
        <f t="shared" si="11"/>
        <v>1576.9230769230762</v>
      </c>
      <c r="F62" s="39">
        <f t="shared" si="12"/>
        <v>394.23076923076906</v>
      </c>
      <c r="G62" s="39">
        <f t="shared" si="13"/>
        <v>242.87616511318203</v>
      </c>
      <c r="H62" s="39">
        <f t="shared" si="8"/>
        <v>1437.106934343951</v>
      </c>
      <c r="I62" s="38">
        <f t="shared" si="9"/>
        <v>139.8161425791252</v>
      </c>
      <c r="J62" s="79"/>
      <c r="K62" s="79"/>
      <c r="L62" s="38"/>
      <c r="M62" s="38"/>
      <c r="N62">
        <f t="shared" si="17"/>
        <v>0</v>
      </c>
      <c r="O62">
        <f t="shared" si="18"/>
        <v>0</v>
      </c>
    </row>
    <row r="63" spans="1:15" x14ac:dyDescent="0.25">
      <c r="A63" s="4">
        <f t="shared" si="10"/>
        <v>0.75499999999999978</v>
      </c>
      <c r="B63" s="30">
        <f t="shared" si="14"/>
        <v>7788.4615384615345</v>
      </c>
      <c r="C63" s="30">
        <f t="shared" si="15"/>
        <v>141.38624999999982</v>
      </c>
      <c r="D63" s="30">
        <f t="shared" si="16"/>
        <v>156.44614724961596</v>
      </c>
      <c r="E63" s="38">
        <f t="shared" si="11"/>
        <v>1557.6923076923069</v>
      </c>
      <c r="F63" s="39">
        <f t="shared" si="12"/>
        <v>389.42307692307674</v>
      </c>
      <c r="G63" s="39">
        <f t="shared" si="13"/>
        <v>234.66922087442396</v>
      </c>
      <c r="H63" s="39">
        <f t="shared" si="8"/>
        <v>1424.0922977975006</v>
      </c>
      <c r="I63" s="38">
        <f t="shared" si="9"/>
        <v>133.60000989480636</v>
      </c>
      <c r="J63" s="79"/>
      <c r="K63" s="79"/>
      <c r="L63" s="38"/>
      <c r="M63" s="38"/>
      <c r="N63">
        <f t="shared" si="17"/>
        <v>0</v>
      </c>
      <c r="O63">
        <f t="shared" si="18"/>
        <v>0</v>
      </c>
    </row>
    <row r="64" spans="1:15" x14ac:dyDescent="0.25">
      <c r="A64" s="4">
        <f t="shared" si="10"/>
        <v>0.74999999999999978</v>
      </c>
      <c r="B64" s="30">
        <f t="shared" si="14"/>
        <v>7692.307692307686</v>
      </c>
      <c r="C64" s="30">
        <f t="shared" si="15"/>
        <v>136.87499999999986</v>
      </c>
      <c r="D64" s="30">
        <f t="shared" si="16"/>
        <v>151.0344827586205</v>
      </c>
      <c r="E64" s="38">
        <f t="shared" si="11"/>
        <v>1538.4615384615372</v>
      </c>
      <c r="F64" s="39">
        <f t="shared" si="12"/>
        <v>384.6153846153843</v>
      </c>
      <c r="G64" s="39">
        <f t="shared" si="13"/>
        <v>226.55172413793076</v>
      </c>
      <c r="H64" s="39">
        <f t="shared" si="8"/>
        <v>1411.167108753315</v>
      </c>
      <c r="I64" s="38">
        <f t="shared" si="9"/>
        <v>127.2944297082222</v>
      </c>
      <c r="J64" s="79"/>
      <c r="K64" s="79"/>
      <c r="L64" s="38"/>
      <c r="M64" s="38"/>
      <c r="N64">
        <f t="shared" si="17"/>
        <v>0</v>
      </c>
      <c r="O64">
        <f t="shared" si="18"/>
        <v>0</v>
      </c>
    </row>
    <row r="65" spans="1:15" x14ac:dyDescent="0.25">
      <c r="A65" s="4">
        <f t="shared" si="10"/>
        <v>0.74499999999999977</v>
      </c>
      <c r="B65" s="30">
        <f t="shared" si="14"/>
        <v>7596.1538461538403</v>
      </c>
      <c r="C65" s="30">
        <f t="shared" si="15"/>
        <v>132.38624999999973</v>
      </c>
      <c r="D65" s="30">
        <f t="shared" si="16"/>
        <v>145.68150868650156</v>
      </c>
      <c r="E65" s="38">
        <f t="shared" si="11"/>
        <v>1519.2307692307681</v>
      </c>
      <c r="F65" s="39">
        <f t="shared" si="12"/>
        <v>379.80769230769204</v>
      </c>
      <c r="G65" s="39">
        <f t="shared" si="13"/>
        <v>218.52226302975234</v>
      </c>
      <c r="H65" s="39">
        <f t="shared" si="8"/>
        <v>1398.3299553374445</v>
      </c>
      <c r="I65" s="38">
        <f t="shared" si="9"/>
        <v>120.90081389332363</v>
      </c>
      <c r="J65" s="79"/>
      <c r="K65" s="79"/>
      <c r="L65" s="38"/>
      <c r="M65" s="38"/>
      <c r="N65">
        <f t="shared" si="17"/>
        <v>0</v>
      </c>
      <c r="O65">
        <f t="shared" si="18"/>
        <v>0</v>
      </c>
    </row>
    <row r="66" spans="1:15" x14ac:dyDescent="0.25">
      <c r="A66" s="4">
        <f t="shared" si="10"/>
        <v>0.73999999999999977</v>
      </c>
      <c r="B66" s="30">
        <f t="shared" si="14"/>
        <v>7499.9999999999945</v>
      </c>
      <c r="C66" s="30">
        <f t="shared" si="15"/>
        <v>127.9199999999998</v>
      </c>
      <c r="D66" s="30">
        <f t="shared" si="16"/>
        <v>140.38630377524117</v>
      </c>
      <c r="E66" s="38">
        <f t="shared" si="11"/>
        <v>1499.9999999999991</v>
      </c>
      <c r="F66" s="39">
        <f t="shared" si="12"/>
        <v>374.99999999999977</v>
      </c>
      <c r="G66" s="39">
        <f t="shared" si="13"/>
        <v>210.57945566286176</v>
      </c>
      <c r="H66" s="39">
        <f t="shared" si="8"/>
        <v>1385.5794556628616</v>
      </c>
      <c r="I66" s="38">
        <f t="shared" si="9"/>
        <v>114.42054433713747</v>
      </c>
      <c r="J66" s="79"/>
      <c r="K66" s="79"/>
      <c r="L66" s="38"/>
      <c r="M66" s="38"/>
      <c r="N66">
        <f t="shared" si="17"/>
        <v>0</v>
      </c>
      <c r="O66">
        <f t="shared" si="18"/>
        <v>0</v>
      </c>
    </row>
    <row r="67" spans="1:15" x14ac:dyDescent="0.25">
      <c r="A67" s="4">
        <f t="shared" si="10"/>
        <v>0.73499999999999976</v>
      </c>
      <c r="B67" s="30">
        <f t="shared" si="14"/>
        <v>7403.8461538461488</v>
      </c>
      <c r="C67" s="30">
        <f t="shared" si="15"/>
        <v>123.47624999999977</v>
      </c>
      <c r="D67" s="30">
        <f t="shared" si="16"/>
        <v>135.14796623387258</v>
      </c>
      <c r="E67" s="38">
        <f t="shared" si="11"/>
        <v>1480.7692307692298</v>
      </c>
      <c r="F67" s="39">
        <f t="shared" si="12"/>
        <v>370.19230769230745</v>
      </c>
      <c r="G67" s="39">
        <f t="shared" si="13"/>
        <v>202.72194935080887</v>
      </c>
      <c r="H67" s="39">
        <f t="shared" si="8"/>
        <v>1372.9142570431163</v>
      </c>
      <c r="I67" s="38">
        <f t="shared" si="9"/>
        <v>107.85497372611349</v>
      </c>
      <c r="J67" s="79"/>
      <c r="K67" s="79"/>
      <c r="L67" s="38"/>
      <c r="M67" s="38"/>
      <c r="N67">
        <f t="shared" si="17"/>
        <v>0</v>
      </c>
      <c r="O67">
        <f t="shared" si="18"/>
        <v>0</v>
      </c>
    </row>
    <row r="68" spans="1:15" x14ac:dyDescent="0.25">
      <c r="A68" s="4">
        <f t="shared" si="10"/>
        <v>0.72999999999999976</v>
      </c>
      <c r="B68" s="30">
        <f t="shared" si="14"/>
        <v>7307.6923076923022</v>
      </c>
      <c r="C68" s="30">
        <f t="shared" si="15"/>
        <v>119.05499999999975</v>
      </c>
      <c r="D68" s="30">
        <f t="shared" si="16"/>
        <v>129.96561323071856</v>
      </c>
      <c r="E68" s="38">
        <f t="shared" si="11"/>
        <v>1461.5384615384605</v>
      </c>
      <c r="F68" s="39">
        <f t="shared" si="12"/>
        <v>365.38461538461513</v>
      </c>
      <c r="G68" s="39">
        <f t="shared" si="13"/>
        <v>194.94841984607785</v>
      </c>
      <c r="H68" s="39">
        <f t="shared" si="8"/>
        <v>1360.333035230693</v>
      </c>
      <c r="I68" s="38">
        <f t="shared" si="9"/>
        <v>101.20542630776754</v>
      </c>
      <c r="J68" s="79"/>
      <c r="K68" s="79"/>
      <c r="L68" s="38"/>
      <c r="M68" s="38"/>
      <c r="N68">
        <f t="shared" si="17"/>
        <v>0</v>
      </c>
      <c r="O68">
        <f t="shared" si="18"/>
        <v>0</v>
      </c>
    </row>
    <row r="69" spans="1:15" x14ac:dyDescent="0.25">
      <c r="A69" s="4">
        <f t="shared" si="10"/>
        <v>0.72499999999999976</v>
      </c>
      <c r="B69" s="30">
        <f t="shared" si="14"/>
        <v>7211.5384615384564</v>
      </c>
      <c r="C69" s="30">
        <f t="shared" si="15"/>
        <v>114.65624999999982</v>
      </c>
      <c r="D69" s="30">
        <f t="shared" si="16"/>
        <v>124.83838040149691</v>
      </c>
      <c r="E69" s="38">
        <f t="shared" si="11"/>
        <v>1442.3076923076915</v>
      </c>
      <c r="F69" s="39">
        <f t="shared" si="12"/>
        <v>360.57692307692287</v>
      </c>
      <c r="G69" s="39">
        <f t="shared" si="13"/>
        <v>187.25757060224535</v>
      </c>
      <c r="H69" s="39">
        <f t="shared" si="8"/>
        <v>1347.8344936791682</v>
      </c>
      <c r="I69" s="38">
        <f t="shared" si="9"/>
        <v>94.473198628523278</v>
      </c>
      <c r="J69" s="79"/>
      <c r="K69" s="79"/>
      <c r="L69" s="38"/>
      <c r="M69" s="38"/>
      <c r="N69">
        <f t="shared" si="17"/>
        <v>0</v>
      </c>
      <c r="O69">
        <f t="shared" si="18"/>
        <v>0</v>
      </c>
    </row>
    <row r="70" spans="1:15" x14ac:dyDescent="0.25">
      <c r="A70" s="4">
        <f t="shared" si="10"/>
        <v>0.71999999999999975</v>
      </c>
      <c r="B70" s="30">
        <f t="shared" si="14"/>
        <v>7115.3846153846107</v>
      </c>
      <c r="C70" s="30">
        <f t="shared" si="15"/>
        <v>110.27999999999977</v>
      </c>
      <c r="D70" s="30">
        <f t="shared" si="16"/>
        <v>119.76542137271912</v>
      </c>
      <c r="E70" s="38">
        <f t="shared" si="11"/>
        <v>1423.0769230769222</v>
      </c>
      <c r="F70" s="39">
        <f t="shared" si="12"/>
        <v>355.76923076923055</v>
      </c>
      <c r="G70" s="39">
        <f t="shared" si="13"/>
        <v>179.64813205907868</v>
      </c>
      <c r="H70" s="39">
        <f t="shared" si="8"/>
        <v>1335.4173628283093</v>
      </c>
      <c r="I70" s="38">
        <f t="shared" si="9"/>
        <v>87.659560248612934</v>
      </c>
      <c r="J70" s="79"/>
      <c r="K70" s="79"/>
      <c r="L70" s="38"/>
      <c r="M70" s="38"/>
      <c r="N70">
        <f t="shared" si="17"/>
        <v>0</v>
      </c>
      <c r="O70">
        <f t="shared" si="18"/>
        <v>0</v>
      </c>
    </row>
    <row r="71" spans="1:15" x14ac:dyDescent="0.25">
      <c r="A71" s="4">
        <f t="shared" si="10"/>
        <v>0.71499999999999975</v>
      </c>
      <c r="B71" s="30">
        <f t="shared" si="14"/>
        <v>7019.2307692307622</v>
      </c>
      <c r="C71" s="30">
        <f t="shared" si="15"/>
        <v>105.92624999999973</v>
      </c>
      <c r="D71" s="30">
        <f t="shared" si="16"/>
        <v>114.74590729983314</v>
      </c>
      <c r="E71" s="38">
        <f t="shared" si="11"/>
        <v>1403.8461538461524</v>
      </c>
      <c r="F71" s="39">
        <f t="shared" si="12"/>
        <v>350.96153846153811</v>
      </c>
      <c r="G71" s="39">
        <f t="shared" si="13"/>
        <v>172.11886094974972</v>
      </c>
      <c r="H71" s="39">
        <f t="shared" si="8"/>
        <v>1323.0803994112878</v>
      </c>
      <c r="I71" s="38">
        <f t="shared" si="9"/>
        <v>80.765754434864675</v>
      </c>
      <c r="J71" s="79"/>
      <c r="K71" s="79"/>
      <c r="L71" s="38"/>
      <c r="M71" s="38"/>
      <c r="N71">
        <f t="shared" si="17"/>
        <v>0</v>
      </c>
      <c r="O71">
        <f t="shared" si="18"/>
        <v>0</v>
      </c>
    </row>
    <row r="72" spans="1:15" x14ac:dyDescent="0.25">
      <c r="A72" s="4">
        <f t="shared" si="10"/>
        <v>0.70999999999999974</v>
      </c>
      <c r="B72" s="30">
        <f t="shared" si="14"/>
        <v>6923.0769230769165</v>
      </c>
      <c r="C72" s="30">
        <f t="shared" si="15"/>
        <v>101.59499999999984</v>
      </c>
      <c r="D72" s="30">
        <f t="shared" si="16"/>
        <v>109.77902641957948</v>
      </c>
      <c r="E72" s="38">
        <f t="shared" si="11"/>
        <v>1384.6153846153834</v>
      </c>
      <c r="F72" s="39">
        <f t="shared" si="12"/>
        <v>346.15384615384585</v>
      </c>
      <c r="G72" s="39">
        <f t="shared" si="13"/>
        <v>164.66853962936921</v>
      </c>
      <c r="H72" s="39">
        <f t="shared" si="8"/>
        <v>1310.8223857832149</v>
      </c>
      <c r="I72" s="38">
        <f t="shared" si="9"/>
        <v>73.79299883216845</v>
      </c>
      <c r="J72" s="79"/>
      <c r="K72" s="79"/>
      <c r="L72" s="38"/>
      <c r="M72" s="38"/>
      <c r="N72">
        <f t="shared" si="17"/>
        <v>0</v>
      </c>
      <c r="O72">
        <f t="shared" si="18"/>
        <v>0</v>
      </c>
    </row>
    <row r="73" spans="1:15" x14ac:dyDescent="0.25">
      <c r="A73" s="4">
        <f t="shared" si="10"/>
        <v>0.70499999999999974</v>
      </c>
      <c r="B73" s="30">
        <f t="shared" si="14"/>
        <v>6826.9230769230708</v>
      </c>
      <c r="C73" s="30">
        <f t="shared" si="15"/>
        <v>97.286249999999711</v>
      </c>
      <c r="D73" s="30">
        <f t="shared" si="16"/>
        <v>104.86398361605485</v>
      </c>
      <c r="E73" s="38">
        <f t="shared" si="11"/>
        <v>1365.3846153846143</v>
      </c>
      <c r="F73" s="39">
        <f t="shared" si="12"/>
        <v>341.34615384615358</v>
      </c>
      <c r="G73" s="39">
        <f t="shared" si="13"/>
        <v>157.29597542408229</v>
      </c>
      <c r="H73" s="39">
        <f t="shared" si="8"/>
        <v>1298.6421292702357</v>
      </c>
      <c r="I73" s="38">
        <f t="shared" si="9"/>
        <v>66.742486114378607</v>
      </c>
      <c r="J73" s="79"/>
      <c r="K73" s="79"/>
      <c r="L73" s="38"/>
      <c r="M73" s="38"/>
      <c r="N73">
        <f t="shared" si="17"/>
        <v>0</v>
      </c>
      <c r="O73">
        <f t="shared" si="18"/>
        <v>0</v>
      </c>
    </row>
    <row r="74" spans="1:15" x14ac:dyDescent="0.25">
      <c r="A74" s="4">
        <f t="shared" si="10"/>
        <v>0.69999999999999973</v>
      </c>
      <c r="B74" s="30">
        <f t="shared" si="14"/>
        <v>6730.769230769225</v>
      </c>
      <c r="C74" s="30">
        <f t="shared" si="15"/>
        <v>92.999999999999744</v>
      </c>
      <c r="D74" s="30">
        <f t="shared" si="16"/>
        <v>99.999999999999716</v>
      </c>
      <c r="E74" s="38">
        <f t="shared" si="11"/>
        <v>1346.1538461538451</v>
      </c>
      <c r="F74" s="39">
        <f t="shared" si="12"/>
        <v>336.53846153846126</v>
      </c>
      <c r="G74" s="39">
        <f t="shared" si="13"/>
        <v>149.99999999999957</v>
      </c>
      <c r="H74" s="39">
        <f t="shared" si="8"/>
        <v>1286.538461538461</v>
      </c>
      <c r="I74" s="38">
        <f t="shared" si="9"/>
        <v>59.615384615384073</v>
      </c>
      <c r="J74" s="79"/>
      <c r="K74" s="79"/>
      <c r="L74" s="38"/>
      <c r="M74" s="38"/>
      <c r="N74">
        <f t="shared" si="17"/>
        <v>0</v>
      </c>
      <c r="O74">
        <f t="shared" si="18"/>
        <v>0</v>
      </c>
    </row>
    <row r="75" spans="1:15" x14ac:dyDescent="0.25">
      <c r="A75" s="4">
        <f t="shared" si="10"/>
        <v>0.69499999999999973</v>
      </c>
      <c r="B75" s="30">
        <f t="shared" si="14"/>
        <v>6634.6153846153793</v>
      </c>
      <c r="C75" s="30">
        <f t="shared" si="15"/>
        <v>88.736249999999771</v>
      </c>
      <c r="D75" s="30">
        <f t="shared" si="16"/>
        <v>95.186312500837786</v>
      </c>
      <c r="E75" s="38">
        <f t="shared" si="11"/>
        <v>1326.923076923076</v>
      </c>
      <c r="F75" s="39">
        <f t="shared" si="12"/>
        <v>331.730769230769</v>
      </c>
      <c r="G75" s="39">
        <f t="shared" si="13"/>
        <v>142.77946875125667</v>
      </c>
      <c r="H75" s="39">
        <f t="shared" si="8"/>
        <v>1274.5102379820257</v>
      </c>
      <c r="I75" s="38">
        <f t="shared" si="9"/>
        <v>52.412838941050268</v>
      </c>
      <c r="J75" s="79"/>
      <c r="K75" s="79"/>
      <c r="L75" s="38"/>
      <c r="M75" s="38"/>
      <c r="N75">
        <f t="shared" si="17"/>
        <v>0</v>
      </c>
      <c r="O75">
        <f t="shared" si="18"/>
        <v>0</v>
      </c>
    </row>
    <row r="76" spans="1:15" x14ac:dyDescent="0.25">
      <c r="A76" s="4">
        <f t="shared" si="10"/>
        <v>0.68999999999999972</v>
      </c>
      <c r="B76" s="30">
        <f t="shared" si="14"/>
        <v>6538.4615384615336</v>
      </c>
      <c r="C76" s="30">
        <f t="shared" si="15"/>
        <v>84.494999999999763</v>
      </c>
      <c r="D76" s="30">
        <f t="shared" si="16"/>
        <v>90.422173471025488</v>
      </c>
      <c r="E76" s="38">
        <f t="shared" si="11"/>
        <v>1307.6923076923067</v>
      </c>
      <c r="F76" s="39">
        <f t="shared" si="12"/>
        <v>326.92307692307668</v>
      </c>
      <c r="G76" s="39">
        <f t="shared" si="13"/>
        <v>135.63326020653824</v>
      </c>
      <c r="H76" s="39">
        <f t="shared" si="8"/>
        <v>1262.5563371296148</v>
      </c>
      <c r="I76" s="38">
        <f t="shared" si="9"/>
        <v>45.135970562691909</v>
      </c>
      <c r="J76" s="79"/>
      <c r="K76" s="79"/>
      <c r="L76" s="38"/>
      <c r="M76" s="38"/>
      <c r="N76">
        <f t="shared" si="17"/>
        <v>0</v>
      </c>
      <c r="O76">
        <f t="shared" si="18"/>
        <v>0</v>
      </c>
    </row>
    <row r="77" spans="1:15" x14ac:dyDescent="0.25">
      <c r="A77" s="4">
        <f t="shared" si="10"/>
        <v>0.68499999999999972</v>
      </c>
      <c r="B77" s="30">
        <f t="shared" si="14"/>
        <v>6442.3076923076878</v>
      </c>
      <c r="C77" s="30">
        <f t="shared" si="15"/>
        <v>80.27624999999982</v>
      </c>
      <c r="D77" s="30">
        <f t="shared" si="16"/>
        <v>85.706850302277886</v>
      </c>
      <c r="E77" s="38">
        <f t="shared" ref="E77:E108" si="19">C$6*B77</f>
        <v>1288.4615384615377</v>
      </c>
      <c r="F77" s="39">
        <f t="shared" ref="F77:F108" si="20">D$6*B77</f>
        <v>322.11538461538441</v>
      </c>
      <c r="G77" s="39">
        <f t="shared" ref="G77:G108" si="21">E$6*10*D77</f>
        <v>128.56027545341684</v>
      </c>
      <c r="H77" s="39">
        <f t="shared" si="8"/>
        <v>1250.6756600688013</v>
      </c>
      <c r="I77" s="38">
        <f t="shared" si="9"/>
        <v>37.785878392736322</v>
      </c>
      <c r="J77" s="79"/>
      <c r="K77" s="79"/>
      <c r="L77" s="38"/>
      <c r="M77" s="38"/>
      <c r="N77">
        <f t="shared" si="17"/>
        <v>0</v>
      </c>
      <c r="O77">
        <f t="shared" si="18"/>
        <v>0</v>
      </c>
    </row>
    <row r="78" spans="1:15" x14ac:dyDescent="0.25">
      <c r="A78" s="4">
        <f t="shared" si="10"/>
        <v>0.67999999999999972</v>
      </c>
      <c r="B78" s="30">
        <f t="shared" ref="B78:B109" si="22">B$6*(MAX(0,U$5+U$6*A78+U$7*A78^2))</f>
        <v>6346.1538461538385</v>
      </c>
      <c r="C78" s="30">
        <f t="shared" ref="C78:C114" si="23">MAX(A78*S$17-S$18*(MIN(1,U$8+U$9*A78+U$10*A78^2))-S$19*(MIN(1,U$11+U$12*A78+U$13*A78^2)),0)</f>
        <v>76.079999999999728</v>
      </c>
      <c r="D78" s="30">
        <f t="shared" ref="D78:D109" si="24">C78/(MIN(1,U$14+U$15*A78+U$16*A78^2))</f>
        <v>81.039625053259186</v>
      </c>
      <c r="E78" s="38">
        <f t="shared" si="19"/>
        <v>1269.2307692307677</v>
      </c>
      <c r="F78" s="39">
        <f t="shared" si="20"/>
        <v>317.30769230769192</v>
      </c>
      <c r="G78" s="39">
        <f t="shared" si="21"/>
        <v>121.55943757988878</v>
      </c>
      <c r="H78" s="39">
        <f t="shared" si="8"/>
        <v>1238.8671298875806</v>
      </c>
      <c r="I78" s="38">
        <f t="shared" si="9"/>
        <v>30.36363934318706</v>
      </c>
      <c r="J78" s="79"/>
      <c r="K78" s="79"/>
      <c r="L78" s="38"/>
      <c r="M78" s="38"/>
      <c r="N78">
        <f t="shared" ref="N78:N114" si="25">IF($I78=$L$31,D78,0)</f>
        <v>0</v>
      </c>
      <c r="O78">
        <f t="shared" ref="O78:O114" si="26">IF($I78=$L$31,A78,0)</f>
        <v>0</v>
      </c>
    </row>
    <row r="79" spans="1:15" x14ac:dyDescent="0.25">
      <c r="A79" s="4">
        <f t="shared" si="10"/>
        <v>0.67499999999999971</v>
      </c>
      <c r="B79" s="30">
        <f t="shared" si="22"/>
        <v>6249.9999999999927</v>
      </c>
      <c r="C79" s="30">
        <f t="shared" si="23"/>
        <v>71.906249999999758</v>
      </c>
      <c r="D79" s="30">
        <f t="shared" si="24"/>
        <v>76.419794088342471</v>
      </c>
      <c r="E79" s="38">
        <f t="shared" si="19"/>
        <v>1249.9999999999986</v>
      </c>
      <c r="F79" s="39">
        <f t="shared" si="20"/>
        <v>312.49999999999966</v>
      </c>
      <c r="G79" s="39">
        <f t="shared" si="21"/>
        <v>114.6296911325137</v>
      </c>
      <c r="H79" s="39">
        <f t="shared" ref="H79:H114" si="27">F79+G79+F$6</f>
        <v>1227.1296911325135</v>
      </c>
      <c r="I79" s="38">
        <f t="shared" ref="I79:I114" si="28">E79-H79</f>
        <v>22.870308867485164</v>
      </c>
      <c r="J79" s="79"/>
      <c r="K79" s="79"/>
      <c r="L79" s="38"/>
      <c r="M79" s="38"/>
      <c r="N79">
        <f t="shared" si="25"/>
        <v>0</v>
      </c>
      <c r="O79">
        <f t="shared" si="26"/>
        <v>0</v>
      </c>
    </row>
    <row r="80" spans="1:15" x14ac:dyDescent="0.25">
      <c r="A80" s="4">
        <f t="shared" ref="A80:A114" si="29">A79-0.005</f>
        <v>0.66999999999999971</v>
      </c>
      <c r="B80" s="30">
        <f t="shared" si="22"/>
        <v>6153.846153846147</v>
      </c>
      <c r="C80" s="30">
        <f t="shared" si="23"/>
        <v>67.754999999999811</v>
      </c>
      <c r="D80" s="30">
        <f t="shared" si="24"/>
        <v>71.846667727055618</v>
      </c>
      <c r="E80" s="38">
        <f t="shared" si="19"/>
        <v>1230.7692307692296</v>
      </c>
      <c r="F80" s="39">
        <f t="shared" si="20"/>
        <v>307.69230769230739</v>
      </c>
      <c r="G80" s="39">
        <f t="shared" si="21"/>
        <v>107.77000159058343</v>
      </c>
      <c r="H80" s="39">
        <f t="shared" si="27"/>
        <v>1215.4623092828908</v>
      </c>
      <c r="I80" s="38">
        <f t="shared" si="28"/>
        <v>15.306921486338751</v>
      </c>
      <c r="J80" s="79"/>
      <c r="K80" s="79"/>
      <c r="L80" s="38"/>
      <c r="M80" s="38"/>
      <c r="N80">
        <f t="shared" si="25"/>
        <v>0</v>
      </c>
      <c r="O80">
        <f t="shared" si="26"/>
        <v>0</v>
      </c>
    </row>
    <row r="81" spans="1:15" x14ac:dyDescent="0.25">
      <c r="A81" s="4">
        <f t="shared" si="29"/>
        <v>0.6649999999999997</v>
      </c>
      <c r="B81" s="30">
        <f t="shared" si="22"/>
        <v>6057.6923076923013</v>
      </c>
      <c r="C81" s="30">
        <f t="shared" si="23"/>
        <v>63.626249999999743</v>
      </c>
      <c r="D81" s="30">
        <f t="shared" si="24"/>
        <v>67.319569903849683</v>
      </c>
      <c r="E81" s="38">
        <f t="shared" si="19"/>
        <v>1211.5384615384603</v>
      </c>
      <c r="F81" s="39">
        <f t="shared" si="20"/>
        <v>302.88461538461507</v>
      </c>
      <c r="G81" s="39">
        <f t="shared" si="21"/>
        <v>100.97935485577452</v>
      </c>
      <c r="H81" s="39">
        <f t="shared" si="27"/>
        <v>1203.8639702403896</v>
      </c>
      <c r="I81" s="38">
        <f t="shared" si="28"/>
        <v>7.674491298070734</v>
      </c>
      <c r="J81" s="79"/>
      <c r="K81" s="79"/>
      <c r="L81" s="38"/>
      <c r="M81" s="38"/>
      <c r="N81">
        <f t="shared" si="25"/>
        <v>0</v>
      </c>
      <c r="O81">
        <f t="shared" si="26"/>
        <v>0</v>
      </c>
    </row>
    <row r="82" spans="1:15" x14ac:dyDescent="0.25">
      <c r="A82" s="4">
        <f t="shared" si="29"/>
        <v>0.6599999999999997</v>
      </c>
      <c r="B82" s="30">
        <f t="shared" si="22"/>
        <v>5961.5384615384555</v>
      </c>
      <c r="C82" s="30">
        <f t="shared" si="23"/>
        <v>59.519999999999712</v>
      </c>
      <c r="D82" s="30">
        <f t="shared" si="24"/>
        <v>62.837837837837519</v>
      </c>
      <c r="E82" s="38">
        <f t="shared" si="19"/>
        <v>1192.3076923076912</v>
      </c>
      <c r="F82" s="39">
        <f t="shared" si="20"/>
        <v>298.07692307692281</v>
      </c>
      <c r="G82" s="39">
        <f t="shared" si="21"/>
        <v>94.256756756756275</v>
      </c>
      <c r="H82" s="39">
        <f t="shared" si="27"/>
        <v>1192.3336798336791</v>
      </c>
      <c r="I82" s="38">
        <f t="shared" si="28"/>
        <v>-2.598752598782994E-2</v>
      </c>
      <c r="J82" s="79"/>
      <c r="K82" s="79"/>
      <c r="L82" s="38"/>
      <c r="M82" s="38"/>
      <c r="N82">
        <f t="shared" si="25"/>
        <v>0</v>
      </c>
      <c r="O82">
        <f t="shared" si="26"/>
        <v>0</v>
      </c>
    </row>
    <row r="83" spans="1:15" x14ac:dyDescent="0.25">
      <c r="A83" s="4">
        <f t="shared" si="29"/>
        <v>0.65499999999999969</v>
      </c>
      <c r="B83" s="30">
        <f t="shared" si="22"/>
        <v>5865.3846153846098</v>
      </c>
      <c r="C83" s="30">
        <f t="shared" si="23"/>
        <v>55.436249999999745</v>
      </c>
      <c r="D83" s="30">
        <f t="shared" si="24"/>
        <v>58.400821712163435</v>
      </c>
      <c r="E83" s="38">
        <f t="shared" si="19"/>
        <v>1173.076923076922</v>
      </c>
      <c r="F83" s="39">
        <f t="shared" si="20"/>
        <v>293.26923076923049</v>
      </c>
      <c r="G83" s="39">
        <f t="shared" si="21"/>
        <v>87.601232568245152</v>
      </c>
      <c r="H83" s="39">
        <f t="shared" si="27"/>
        <v>1180.8704633374757</v>
      </c>
      <c r="I83" s="38">
        <f t="shared" si="28"/>
        <v>-7.7935402605537547</v>
      </c>
      <c r="J83" s="79"/>
      <c r="K83" s="79"/>
      <c r="L83" s="38"/>
      <c r="M83" s="38"/>
      <c r="N83">
        <f t="shared" si="25"/>
        <v>0</v>
      </c>
      <c r="O83">
        <f t="shared" si="26"/>
        <v>0</v>
      </c>
    </row>
    <row r="84" spans="1:15" x14ac:dyDescent="0.25">
      <c r="A84" s="4">
        <f t="shared" si="29"/>
        <v>0.64999999999999969</v>
      </c>
      <c r="B84" s="30">
        <f t="shared" si="22"/>
        <v>5769.2307692307622</v>
      </c>
      <c r="C84" s="30">
        <f t="shared" si="23"/>
        <v>51.374999999999744</v>
      </c>
      <c r="D84" s="30">
        <f t="shared" si="24"/>
        <v>54.007884362680414</v>
      </c>
      <c r="E84" s="38">
        <f t="shared" si="19"/>
        <v>1153.8461538461524</v>
      </c>
      <c r="F84" s="39">
        <f t="shared" si="20"/>
        <v>288.46153846153811</v>
      </c>
      <c r="G84" s="39">
        <f t="shared" si="21"/>
        <v>81.011826544020622</v>
      </c>
      <c r="H84" s="39">
        <f t="shared" si="27"/>
        <v>1169.4733650055587</v>
      </c>
      <c r="I84" s="38">
        <f t="shared" si="28"/>
        <v>-15.627211159406215</v>
      </c>
      <c r="J84" s="79"/>
      <c r="K84" s="79"/>
      <c r="L84" s="38"/>
      <c r="M84" s="38"/>
      <c r="N84">
        <f t="shared" si="25"/>
        <v>0</v>
      </c>
      <c r="O84">
        <f t="shared" si="26"/>
        <v>0</v>
      </c>
    </row>
    <row r="85" spans="1:15" x14ac:dyDescent="0.25">
      <c r="A85" s="4">
        <f t="shared" si="29"/>
        <v>0.64499999999999968</v>
      </c>
      <c r="B85" s="30">
        <f t="shared" si="22"/>
        <v>5673.0769230769165</v>
      </c>
      <c r="C85" s="30">
        <f t="shared" si="23"/>
        <v>47.336249999999808</v>
      </c>
      <c r="D85" s="30">
        <f t="shared" si="24"/>
        <v>49.658400975622342</v>
      </c>
      <c r="E85" s="38">
        <f t="shared" si="19"/>
        <v>1134.6153846153834</v>
      </c>
      <c r="F85" s="39">
        <f t="shared" si="20"/>
        <v>283.65384615384585</v>
      </c>
      <c r="G85" s="39">
        <f t="shared" si="21"/>
        <v>74.487601463433521</v>
      </c>
      <c r="H85" s="39">
        <f t="shared" si="27"/>
        <v>1158.1414476172795</v>
      </c>
      <c r="I85" s="38">
        <f t="shared" si="28"/>
        <v>-23.526063001896091</v>
      </c>
      <c r="J85" s="79"/>
      <c r="K85" s="79"/>
      <c r="L85" s="38"/>
      <c r="M85" s="38"/>
      <c r="N85">
        <f t="shared" si="25"/>
        <v>0</v>
      </c>
      <c r="O85">
        <f t="shared" si="26"/>
        <v>0</v>
      </c>
    </row>
    <row r="86" spans="1:15" x14ac:dyDescent="0.25">
      <c r="A86" s="4">
        <f t="shared" si="29"/>
        <v>0.63999999999999968</v>
      </c>
      <c r="B86" s="30">
        <f t="shared" si="22"/>
        <v>5576.9230769230699</v>
      </c>
      <c r="C86" s="30">
        <f t="shared" si="23"/>
        <v>43.319999999999709</v>
      </c>
      <c r="D86" s="30">
        <f t="shared" si="24"/>
        <v>45.351758793969537</v>
      </c>
      <c r="E86" s="38">
        <f t="shared" si="19"/>
        <v>1115.3846153846141</v>
      </c>
      <c r="F86" s="39">
        <f t="shared" si="20"/>
        <v>278.84615384615353</v>
      </c>
      <c r="G86" s="39">
        <f t="shared" si="21"/>
        <v>68.027638190954306</v>
      </c>
      <c r="H86" s="39">
        <f t="shared" si="27"/>
        <v>1146.8737920371077</v>
      </c>
      <c r="I86" s="38">
        <f t="shared" si="28"/>
        <v>-31.489176652493597</v>
      </c>
      <c r="J86" s="79"/>
      <c r="K86" s="79"/>
      <c r="L86" s="38"/>
      <c r="M86" s="38"/>
      <c r="N86">
        <f t="shared" si="25"/>
        <v>0</v>
      </c>
      <c r="O86">
        <f t="shared" si="26"/>
        <v>0</v>
      </c>
    </row>
    <row r="87" spans="1:15" x14ac:dyDescent="0.25">
      <c r="A87" s="4">
        <f t="shared" si="29"/>
        <v>0.63499999999999968</v>
      </c>
      <c r="B87" s="30">
        <f t="shared" si="22"/>
        <v>5480.7692307692241</v>
      </c>
      <c r="C87" s="30">
        <f t="shared" si="23"/>
        <v>39.326249999999746</v>
      </c>
      <c r="D87" s="30">
        <f t="shared" si="24"/>
        <v>41.087356832220799</v>
      </c>
      <c r="E87" s="38">
        <f t="shared" si="19"/>
        <v>1096.1538461538448</v>
      </c>
      <c r="F87" s="39">
        <f t="shared" si="20"/>
        <v>274.03846153846121</v>
      </c>
      <c r="G87" s="39">
        <f t="shared" si="21"/>
        <v>61.631035248331202</v>
      </c>
      <c r="H87" s="39">
        <f t="shared" si="27"/>
        <v>1135.6694967867925</v>
      </c>
      <c r="I87" s="38">
        <f t="shared" si="28"/>
        <v>-39.515650632947654</v>
      </c>
      <c r="J87" s="79"/>
      <c r="K87" s="79"/>
      <c r="L87" s="38"/>
      <c r="M87" s="38"/>
      <c r="N87">
        <f t="shared" si="25"/>
        <v>0</v>
      </c>
      <c r="O87">
        <f t="shared" si="26"/>
        <v>0</v>
      </c>
    </row>
    <row r="88" spans="1:15" x14ac:dyDescent="0.25">
      <c r="A88" s="4">
        <f t="shared" si="29"/>
        <v>0.62999999999999967</v>
      </c>
      <c r="B88" s="30">
        <f t="shared" si="22"/>
        <v>5384.6153846153784</v>
      </c>
      <c r="C88" s="30">
        <f t="shared" si="23"/>
        <v>35.354999999999805</v>
      </c>
      <c r="D88" s="30">
        <f t="shared" si="24"/>
        <v>36.864605599290755</v>
      </c>
      <c r="E88" s="38">
        <f t="shared" si="19"/>
        <v>1076.9230769230758</v>
      </c>
      <c r="F88" s="39">
        <f t="shared" si="20"/>
        <v>269.23076923076894</v>
      </c>
      <c r="G88" s="39">
        <f t="shared" si="21"/>
        <v>55.296908398936132</v>
      </c>
      <c r="H88" s="39">
        <f t="shared" si="27"/>
        <v>1124.5276776297051</v>
      </c>
      <c r="I88" s="38">
        <f t="shared" si="28"/>
        <v>-47.604600706629299</v>
      </c>
      <c r="J88" s="79"/>
      <c r="K88" s="79"/>
      <c r="L88" s="38"/>
      <c r="M88" s="38"/>
      <c r="N88">
        <f t="shared" si="25"/>
        <v>0</v>
      </c>
      <c r="O88">
        <f t="shared" si="26"/>
        <v>0</v>
      </c>
    </row>
    <row r="89" spans="1:15" x14ac:dyDescent="0.25">
      <c r="A89" s="4">
        <f t="shared" si="29"/>
        <v>0.62499999999999967</v>
      </c>
      <c r="B89" s="30">
        <f t="shared" si="22"/>
        <v>5288.4615384615308</v>
      </c>
      <c r="C89" s="30">
        <f t="shared" si="23"/>
        <v>31.406249999999687</v>
      </c>
      <c r="D89" s="30">
        <f t="shared" si="24"/>
        <v>32.682926829267963</v>
      </c>
      <c r="E89" s="38">
        <f t="shared" si="19"/>
        <v>1057.6923076923063</v>
      </c>
      <c r="F89" s="39">
        <f t="shared" si="20"/>
        <v>264.42307692307656</v>
      </c>
      <c r="G89" s="39">
        <f t="shared" si="21"/>
        <v>49.024390243901948</v>
      </c>
      <c r="H89" s="39">
        <f t="shared" si="27"/>
        <v>1113.4474671669786</v>
      </c>
      <c r="I89" s="38">
        <f t="shared" si="28"/>
        <v>-55.755159474672382</v>
      </c>
      <c r="J89" s="79"/>
      <c r="K89" s="79"/>
      <c r="L89" s="38"/>
      <c r="M89" s="38"/>
      <c r="N89">
        <f t="shared" si="25"/>
        <v>0</v>
      </c>
      <c r="O89">
        <f t="shared" si="26"/>
        <v>0</v>
      </c>
    </row>
    <row r="90" spans="1:15" x14ac:dyDescent="0.25">
      <c r="A90" s="4">
        <f t="shared" si="29"/>
        <v>0.61999999999999966</v>
      </c>
      <c r="B90" s="30">
        <f t="shared" si="22"/>
        <v>5192.3076923076851</v>
      </c>
      <c r="C90" s="30">
        <f t="shared" si="23"/>
        <v>27.479999999999777</v>
      </c>
      <c r="D90" s="30">
        <f t="shared" si="24"/>
        <v>28.541753219775423</v>
      </c>
      <c r="E90" s="38">
        <f t="shared" si="19"/>
        <v>1038.461538461537</v>
      </c>
      <c r="F90" s="39">
        <f t="shared" si="20"/>
        <v>259.61538461538424</v>
      </c>
      <c r="G90" s="39">
        <f t="shared" si="21"/>
        <v>42.812629829663138</v>
      </c>
      <c r="H90" s="39">
        <f t="shared" si="27"/>
        <v>1102.4280144450474</v>
      </c>
      <c r="I90" s="38">
        <f t="shared" si="28"/>
        <v>-63.966475983510463</v>
      </c>
      <c r="J90" s="79"/>
      <c r="K90" s="79"/>
      <c r="L90" s="38"/>
      <c r="M90" s="38"/>
      <c r="N90">
        <f t="shared" si="25"/>
        <v>0</v>
      </c>
      <c r="O90">
        <f t="shared" si="26"/>
        <v>0</v>
      </c>
    </row>
    <row r="91" spans="1:15" x14ac:dyDescent="0.25">
      <c r="A91" s="4">
        <f t="shared" si="29"/>
        <v>0.61499999999999966</v>
      </c>
      <c r="B91" s="30">
        <f t="shared" si="22"/>
        <v>5096.1538461538394</v>
      </c>
      <c r="C91" s="30">
        <f t="shared" si="23"/>
        <v>23.576249999999703</v>
      </c>
      <c r="D91" s="30">
        <f t="shared" si="24"/>
        <v>24.440528177683017</v>
      </c>
      <c r="E91" s="38">
        <f t="shared" si="19"/>
        <v>1019.2307692307679</v>
      </c>
      <c r="F91" s="39">
        <f t="shared" si="20"/>
        <v>254.80769230769198</v>
      </c>
      <c r="G91" s="39">
        <f t="shared" si="21"/>
        <v>36.660792266524524</v>
      </c>
      <c r="H91" s="39">
        <f t="shared" si="27"/>
        <v>1091.4684845742165</v>
      </c>
      <c r="I91" s="38">
        <f t="shared" si="28"/>
        <v>-72.237715343448599</v>
      </c>
      <c r="J91" s="79"/>
      <c r="K91" s="79"/>
      <c r="L91" s="38"/>
      <c r="M91" s="38"/>
      <c r="N91">
        <f t="shared" si="25"/>
        <v>0</v>
      </c>
      <c r="O91">
        <f t="shared" si="26"/>
        <v>0</v>
      </c>
    </row>
    <row r="92" spans="1:15" x14ac:dyDescent="0.25">
      <c r="A92" s="4">
        <f t="shared" si="29"/>
        <v>0.60999999999999965</v>
      </c>
      <c r="B92" s="30">
        <f t="shared" si="22"/>
        <v>4999.9999999999918</v>
      </c>
      <c r="C92" s="30">
        <f t="shared" si="23"/>
        <v>19.694999999999709</v>
      </c>
      <c r="D92" s="30">
        <f t="shared" si="24"/>
        <v>20.378705571938237</v>
      </c>
      <c r="E92" s="38">
        <f t="shared" si="19"/>
        <v>999.99999999999841</v>
      </c>
      <c r="F92" s="39">
        <f t="shared" si="20"/>
        <v>249.9999999999996</v>
      </c>
      <c r="G92" s="39">
        <f t="shared" si="21"/>
        <v>30.568058357907354</v>
      </c>
      <c r="H92" s="39">
        <f t="shared" si="27"/>
        <v>1080.5680583579069</v>
      </c>
      <c r="I92" s="38">
        <f t="shared" si="28"/>
        <v>-80.568058357908512</v>
      </c>
      <c r="J92" s="79"/>
      <c r="K92" s="79"/>
      <c r="L92" s="38"/>
      <c r="M92" s="38"/>
      <c r="N92">
        <f t="shared" si="25"/>
        <v>0</v>
      </c>
      <c r="O92">
        <f t="shared" si="26"/>
        <v>0</v>
      </c>
    </row>
    <row r="93" spans="1:15" x14ac:dyDescent="0.25">
      <c r="A93" s="4">
        <f t="shared" si="29"/>
        <v>0.60499999999999965</v>
      </c>
      <c r="B93" s="30">
        <f t="shared" si="22"/>
        <v>4903.8461538461461</v>
      </c>
      <c r="C93" s="30">
        <f t="shared" si="23"/>
        <v>15.836249999999779</v>
      </c>
      <c r="D93" s="30">
        <f t="shared" si="24"/>
        <v>16.355749493280086</v>
      </c>
      <c r="E93" s="38">
        <f t="shared" si="19"/>
        <v>980.76923076922924</v>
      </c>
      <c r="F93" s="39">
        <f t="shared" si="20"/>
        <v>245.19230769230731</v>
      </c>
      <c r="G93" s="39">
        <f t="shared" si="21"/>
        <v>24.53362423992013</v>
      </c>
      <c r="H93" s="39">
        <f t="shared" si="27"/>
        <v>1069.7259319322275</v>
      </c>
      <c r="I93" s="38">
        <f t="shared" si="28"/>
        <v>-88.956701162998229</v>
      </c>
      <c r="J93" s="79"/>
      <c r="K93" s="79"/>
      <c r="L93" s="38"/>
      <c r="M93" s="38"/>
      <c r="N93">
        <f t="shared" si="25"/>
        <v>0</v>
      </c>
      <c r="O93">
        <f t="shared" si="26"/>
        <v>0</v>
      </c>
    </row>
    <row r="94" spans="1:15" x14ac:dyDescent="0.25">
      <c r="A94" s="4">
        <f t="shared" si="29"/>
        <v>0.59999999999999964</v>
      </c>
      <c r="B94" s="30">
        <f t="shared" si="22"/>
        <v>4807.6923076923003</v>
      </c>
      <c r="C94" s="30">
        <f t="shared" si="23"/>
        <v>11.999999999999744</v>
      </c>
      <c r="D94" s="30">
        <f t="shared" si="24"/>
        <v>12.371134020618292</v>
      </c>
      <c r="E94" s="38">
        <f t="shared" si="19"/>
        <v>961.53846153846007</v>
      </c>
      <c r="F94" s="39">
        <f t="shared" si="20"/>
        <v>240.38461538461502</v>
      </c>
      <c r="G94" s="39">
        <f t="shared" si="21"/>
        <v>18.556701030927439</v>
      </c>
      <c r="H94" s="39">
        <f t="shared" si="27"/>
        <v>1058.9413164155426</v>
      </c>
      <c r="I94" s="38">
        <f t="shared" si="28"/>
        <v>-97.402854877082518</v>
      </c>
      <c r="J94" s="79"/>
      <c r="K94" s="79"/>
      <c r="L94" s="38"/>
      <c r="M94" s="38"/>
      <c r="N94">
        <f t="shared" si="25"/>
        <v>0</v>
      </c>
      <c r="O94">
        <f t="shared" si="26"/>
        <v>0</v>
      </c>
    </row>
    <row r="95" spans="1:15" x14ac:dyDescent="0.25">
      <c r="A95" s="4">
        <f t="shared" si="29"/>
        <v>0.59499999999999964</v>
      </c>
      <c r="B95" s="30">
        <f t="shared" si="22"/>
        <v>4711.5384615384546</v>
      </c>
      <c r="C95" s="30">
        <f t="shared" si="23"/>
        <v>8.1862499999997311</v>
      </c>
      <c r="D95" s="30">
        <f t="shared" si="24"/>
        <v>8.4243429938638066</v>
      </c>
      <c r="E95" s="38">
        <f t="shared" si="19"/>
        <v>942.30769230769101</v>
      </c>
      <c r="F95" s="39">
        <f t="shared" si="20"/>
        <v>235.57692307692275</v>
      </c>
      <c r="G95" s="39">
        <f t="shared" si="21"/>
        <v>12.63651449079571</v>
      </c>
      <c r="H95" s="39">
        <f t="shared" si="27"/>
        <v>1048.2134375677185</v>
      </c>
      <c r="I95" s="38">
        <f t="shared" si="28"/>
        <v>-105.90574526002752</v>
      </c>
      <c r="J95" s="79"/>
      <c r="K95" s="79"/>
      <c r="L95" s="38"/>
      <c r="M95" s="38"/>
      <c r="N95">
        <f t="shared" si="25"/>
        <v>0</v>
      </c>
      <c r="O95">
        <f t="shared" si="26"/>
        <v>0</v>
      </c>
    </row>
    <row r="96" spans="1:15" x14ac:dyDescent="0.25">
      <c r="A96" s="4">
        <f t="shared" si="29"/>
        <v>0.58999999999999964</v>
      </c>
      <c r="B96" s="30">
        <f t="shared" si="22"/>
        <v>4615.3846153846071</v>
      </c>
      <c r="C96" s="30">
        <f t="shared" si="23"/>
        <v>4.3949999999997829</v>
      </c>
      <c r="D96" s="30">
        <f t="shared" si="24"/>
        <v>4.5148697930040393</v>
      </c>
      <c r="E96" s="38">
        <f t="shared" si="19"/>
        <v>923.0769230769215</v>
      </c>
      <c r="F96" s="39">
        <f t="shared" si="20"/>
        <v>230.76923076923038</v>
      </c>
      <c r="G96" s="39">
        <f t="shared" si="21"/>
        <v>6.7723046895060595</v>
      </c>
      <c r="H96" s="39">
        <f t="shared" si="27"/>
        <v>1037.5415354587365</v>
      </c>
      <c r="I96" s="38">
        <f t="shared" si="28"/>
        <v>-114.46461238181496</v>
      </c>
      <c r="J96" s="79"/>
      <c r="K96" s="79"/>
      <c r="L96" s="38"/>
      <c r="M96" s="38"/>
      <c r="N96">
        <f t="shared" si="25"/>
        <v>0</v>
      </c>
      <c r="O96">
        <f t="shared" si="26"/>
        <v>0</v>
      </c>
    </row>
    <row r="97" spans="1:15" x14ac:dyDescent="0.25">
      <c r="A97" s="4">
        <f t="shared" si="29"/>
        <v>0.58499999999999963</v>
      </c>
      <c r="B97" s="30">
        <f t="shared" si="22"/>
        <v>4519.2307692307613</v>
      </c>
      <c r="C97" s="30">
        <f t="shared" si="23"/>
        <v>0.62624999999968622</v>
      </c>
      <c r="D97" s="30">
        <f t="shared" si="24"/>
        <v>0.64221712322588975</v>
      </c>
      <c r="E97" s="38">
        <f t="shared" si="19"/>
        <v>903.84615384615233</v>
      </c>
      <c r="F97" s="39">
        <f t="shared" si="20"/>
        <v>225.96153846153808</v>
      </c>
      <c r="G97" s="39">
        <f t="shared" si="21"/>
        <v>0.96332568483883463</v>
      </c>
      <c r="H97" s="39">
        <f t="shared" si="27"/>
        <v>1026.9248641463769</v>
      </c>
      <c r="I97" s="38">
        <f t="shared" si="28"/>
        <v>-123.07871030022454</v>
      </c>
      <c r="J97" s="79"/>
      <c r="K97" s="79"/>
      <c r="L97" s="38"/>
      <c r="M97" s="38"/>
      <c r="N97">
        <f t="shared" si="25"/>
        <v>0</v>
      </c>
      <c r="O97">
        <f t="shared" si="26"/>
        <v>0</v>
      </c>
    </row>
    <row r="98" spans="1:15" x14ac:dyDescent="0.25">
      <c r="A98" s="4">
        <f t="shared" si="29"/>
        <v>0.57999999999999963</v>
      </c>
      <c r="B98" s="30">
        <f t="shared" si="22"/>
        <v>4423.0769230769156</v>
      </c>
      <c r="C98" s="30">
        <f t="shared" si="23"/>
        <v>0</v>
      </c>
      <c r="D98" s="30">
        <f t="shared" si="24"/>
        <v>0</v>
      </c>
      <c r="E98" s="38">
        <f t="shared" si="19"/>
        <v>884.61538461538316</v>
      </c>
      <c r="F98" s="39">
        <f t="shared" si="20"/>
        <v>221.15384615384579</v>
      </c>
      <c r="G98" s="39">
        <f t="shared" si="21"/>
        <v>0</v>
      </c>
      <c r="H98" s="39">
        <f t="shared" si="27"/>
        <v>1021.1538461538457</v>
      </c>
      <c r="I98" s="38">
        <f t="shared" si="28"/>
        <v>-136.53846153846257</v>
      </c>
      <c r="J98" s="79"/>
      <c r="K98" s="79"/>
      <c r="L98" s="38"/>
      <c r="M98" s="38"/>
      <c r="N98">
        <f t="shared" si="25"/>
        <v>0</v>
      </c>
      <c r="O98">
        <f t="shared" si="26"/>
        <v>0</v>
      </c>
    </row>
    <row r="99" spans="1:15" x14ac:dyDescent="0.25">
      <c r="A99" s="4">
        <f t="shared" si="29"/>
        <v>0.57499999999999962</v>
      </c>
      <c r="B99" s="30">
        <f t="shared" si="22"/>
        <v>4326.923076923068</v>
      </c>
      <c r="C99" s="30">
        <f t="shared" si="23"/>
        <v>0</v>
      </c>
      <c r="D99" s="30">
        <f t="shared" si="24"/>
        <v>0</v>
      </c>
      <c r="E99" s="38">
        <f t="shared" si="19"/>
        <v>865.38461538461365</v>
      </c>
      <c r="F99" s="39">
        <f t="shared" si="20"/>
        <v>216.34615384615341</v>
      </c>
      <c r="G99" s="39">
        <f t="shared" si="21"/>
        <v>0</v>
      </c>
      <c r="H99" s="39">
        <f t="shared" si="27"/>
        <v>1016.3461538461534</v>
      </c>
      <c r="I99" s="38">
        <f t="shared" si="28"/>
        <v>-150.9615384615397</v>
      </c>
      <c r="J99" s="79"/>
      <c r="K99" s="79"/>
      <c r="L99" s="38"/>
      <c r="M99" s="38"/>
      <c r="N99">
        <f t="shared" si="25"/>
        <v>0</v>
      </c>
      <c r="O99">
        <f t="shared" si="26"/>
        <v>0</v>
      </c>
    </row>
    <row r="100" spans="1:15" x14ac:dyDescent="0.25">
      <c r="A100" s="4">
        <f t="shared" si="29"/>
        <v>0.56999999999999962</v>
      </c>
      <c r="B100" s="30">
        <f t="shared" si="22"/>
        <v>4230.7692307692223</v>
      </c>
      <c r="C100" s="30">
        <f t="shared" si="23"/>
        <v>0</v>
      </c>
      <c r="D100" s="30">
        <f t="shared" si="24"/>
        <v>0</v>
      </c>
      <c r="E100" s="38">
        <f t="shared" si="19"/>
        <v>846.15384615384448</v>
      </c>
      <c r="F100" s="39">
        <f t="shared" si="20"/>
        <v>211.53846153846112</v>
      </c>
      <c r="G100" s="39">
        <f t="shared" si="21"/>
        <v>0</v>
      </c>
      <c r="H100" s="39">
        <f t="shared" si="27"/>
        <v>1011.5384615384611</v>
      </c>
      <c r="I100" s="38">
        <f t="shared" si="28"/>
        <v>-165.38461538461661</v>
      </c>
      <c r="J100" s="79"/>
      <c r="K100" s="79"/>
      <c r="L100" s="38"/>
      <c r="M100" s="38"/>
      <c r="N100">
        <f t="shared" si="25"/>
        <v>0</v>
      </c>
      <c r="O100">
        <f t="shared" si="26"/>
        <v>0</v>
      </c>
    </row>
    <row r="101" spans="1:15" x14ac:dyDescent="0.25">
      <c r="A101" s="4">
        <f t="shared" si="29"/>
        <v>0.56499999999999961</v>
      </c>
      <c r="B101" s="30">
        <f t="shared" si="22"/>
        <v>4134.6153846153766</v>
      </c>
      <c r="C101" s="30">
        <f t="shared" si="23"/>
        <v>0</v>
      </c>
      <c r="D101" s="30">
        <f t="shared" si="24"/>
        <v>0</v>
      </c>
      <c r="E101" s="38">
        <f t="shared" si="19"/>
        <v>826.92307692307531</v>
      </c>
      <c r="F101" s="39">
        <f t="shared" si="20"/>
        <v>206.73076923076883</v>
      </c>
      <c r="G101" s="39">
        <f t="shared" si="21"/>
        <v>0</v>
      </c>
      <c r="H101" s="39">
        <f t="shared" si="27"/>
        <v>1006.7307692307688</v>
      </c>
      <c r="I101" s="38">
        <f t="shared" si="28"/>
        <v>-179.80769230769351</v>
      </c>
      <c r="J101" s="79"/>
      <c r="K101" s="79"/>
      <c r="L101" s="38"/>
      <c r="M101" s="38"/>
      <c r="N101">
        <f t="shared" si="25"/>
        <v>0</v>
      </c>
      <c r="O101">
        <f t="shared" si="26"/>
        <v>0</v>
      </c>
    </row>
    <row r="102" spans="1:15" x14ac:dyDescent="0.25">
      <c r="A102" s="4">
        <f t="shared" si="29"/>
        <v>0.55999999999999961</v>
      </c>
      <c r="B102" s="30">
        <f t="shared" si="22"/>
        <v>4038.4615384615295</v>
      </c>
      <c r="C102" s="30">
        <f t="shared" si="23"/>
        <v>0</v>
      </c>
      <c r="D102" s="30">
        <f t="shared" si="24"/>
        <v>0</v>
      </c>
      <c r="E102" s="38">
        <f t="shared" si="19"/>
        <v>807.69230769230592</v>
      </c>
      <c r="F102" s="39">
        <f t="shared" si="20"/>
        <v>201.92307692307648</v>
      </c>
      <c r="G102" s="39">
        <f t="shared" si="21"/>
        <v>0</v>
      </c>
      <c r="H102" s="39">
        <f t="shared" si="27"/>
        <v>1001.9230769230765</v>
      </c>
      <c r="I102" s="38">
        <f t="shared" si="28"/>
        <v>-194.23076923077053</v>
      </c>
      <c r="J102" s="79"/>
      <c r="K102" s="79"/>
      <c r="L102" s="38"/>
      <c r="M102" s="38"/>
      <c r="N102">
        <f t="shared" si="25"/>
        <v>0</v>
      </c>
      <c r="O102">
        <f t="shared" si="26"/>
        <v>0</v>
      </c>
    </row>
    <row r="103" spans="1:15" x14ac:dyDescent="0.25">
      <c r="A103" s="4">
        <f t="shared" si="29"/>
        <v>0.5549999999999996</v>
      </c>
      <c r="B103" s="30">
        <f t="shared" si="22"/>
        <v>3942.3076923076837</v>
      </c>
      <c r="C103" s="30">
        <f t="shared" si="23"/>
        <v>0</v>
      </c>
      <c r="D103" s="30">
        <f t="shared" si="24"/>
        <v>0</v>
      </c>
      <c r="E103" s="38">
        <f t="shared" si="19"/>
        <v>788.46153846153675</v>
      </c>
      <c r="F103" s="39">
        <f t="shared" si="20"/>
        <v>197.11538461538419</v>
      </c>
      <c r="G103" s="39">
        <f t="shared" si="21"/>
        <v>0</v>
      </c>
      <c r="H103" s="39">
        <f t="shared" si="27"/>
        <v>997.11538461538419</v>
      </c>
      <c r="I103" s="38">
        <f t="shared" si="28"/>
        <v>-208.65384615384744</v>
      </c>
      <c r="J103" s="79"/>
      <c r="K103" s="79"/>
      <c r="L103" s="38"/>
      <c r="M103" s="38"/>
      <c r="N103">
        <f t="shared" si="25"/>
        <v>0</v>
      </c>
      <c r="O103">
        <f t="shared" si="26"/>
        <v>0</v>
      </c>
    </row>
    <row r="104" spans="1:15" x14ac:dyDescent="0.25">
      <c r="A104" s="4">
        <f t="shared" si="29"/>
        <v>0.5499999999999996</v>
      </c>
      <c r="B104" s="30">
        <f t="shared" si="22"/>
        <v>3846.153846153838</v>
      </c>
      <c r="C104" s="30">
        <f t="shared" si="23"/>
        <v>0</v>
      </c>
      <c r="D104" s="30">
        <f t="shared" si="24"/>
        <v>0</v>
      </c>
      <c r="E104" s="38">
        <f t="shared" si="19"/>
        <v>769.23076923076769</v>
      </c>
      <c r="F104" s="39">
        <f t="shared" si="20"/>
        <v>192.30769230769192</v>
      </c>
      <c r="G104" s="39">
        <f t="shared" si="21"/>
        <v>0</v>
      </c>
      <c r="H104" s="39">
        <f t="shared" si="27"/>
        <v>992.30769230769192</v>
      </c>
      <c r="I104" s="38">
        <f t="shared" si="28"/>
        <v>-223.07692307692423</v>
      </c>
      <c r="J104" s="79"/>
      <c r="K104" s="79"/>
      <c r="L104" s="38"/>
      <c r="M104" s="38"/>
      <c r="N104">
        <f t="shared" si="25"/>
        <v>0</v>
      </c>
      <c r="O104">
        <f t="shared" si="26"/>
        <v>0</v>
      </c>
    </row>
    <row r="105" spans="1:15" x14ac:dyDescent="0.25">
      <c r="A105" s="4">
        <f t="shared" si="29"/>
        <v>0.5449999999999996</v>
      </c>
      <c r="B105" s="30">
        <f t="shared" si="22"/>
        <v>3749.9999999999923</v>
      </c>
      <c r="C105" s="30">
        <f t="shared" si="23"/>
        <v>0</v>
      </c>
      <c r="D105" s="30">
        <f t="shared" si="24"/>
        <v>0</v>
      </c>
      <c r="E105" s="38">
        <f t="shared" si="19"/>
        <v>749.99999999999852</v>
      </c>
      <c r="F105" s="39">
        <f t="shared" si="20"/>
        <v>187.49999999999963</v>
      </c>
      <c r="G105" s="39">
        <f t="shared" si="21"/>
        <v>0</v>
      </c>
      <c r="H105" s="39">
        <f t="shared" si="27"/>
        <v>987.49999999999966</v>
      </c>
      <c r="I105" s="38">
        <f t="shared" si="28"/>
        <v>-237.50000000000114</v>
      </c>
      <c r="J105" s="79"/>
      <c r="K105" s="79"/>
      <c r="L105" s="38"/>
      <c r="M105" s="38"/>
      <c r="N105">
        <f t="shared" si="25"/>
        <v>0</v>
      </c>
      <c r="O105">
        <f t="shared" si="26"/>
        <v>0</v>
      </c>
    </row>
    <row r="106" spans="1:15" x14ac:dyDescent="0.25">
      <c r="A106" s="4">
        <f t="shared" si="29"/>
        <v>0.53999999999999959</v>
      </c>
      <c r="B106" s="30">
        <f t="shared" si="22"/>
        <v>3653.8461538461452</v>
      </c>
      <c r="C106" s="30">
        <f t="shared" si="23"/>
        <v>0</v>
      </c>
      <c r="D106" s="30">
        <f t="shared" si="24"/>
        <v>0</v>
      </c>
      <c r="E106" s="38">
        <f t="shared" si="19"/>
        <v>730.76923076922913</v>
      </c>
      <c r="F106" s="39">
        <f t="shared" si="20"/>
        <v>182.69230769230728</v>
      </c>
      <c r="G106" s="39">
        <f t="shared" si="21"/>
        <v>0</v>
      </c>
      <c r="H106" s="39">
        <f t="shared" si="27"/>
        <v>982.69230769230728</v>
      </c>
      <c r="I106" s="38">
        <f t="shared" si="28"/>
        <v>-251.92307692307816</v>
      </c>
      <c r="J106" s="79"/>
      <c r="K106" s="79"/>
      <c r="L106" s="38"/>
      <c r="M106" s="38"/>
      <c r="N106">
        <f t="shared" si="25"/>
        <v>0</v>
      </c>
      <c r="O106">
        <f t="shared" si="26"/>
        <v>0</v>
      </c>
    </row>
    <row r="107" spans="1:15" x14ac:dyDescent="0.25">
      <c r="A107" s="4">
        <f t="shared" si="29"/>
        <v>0.53499999999999959</v>
      </c>
      <c r="B107" s="30">
        <f t="shared" si="22"/>
        <v>3557.6923076922994</v>
      </c>
      <c r="C107" s="30">
        <f t="shared" si="23"/>
        <v>0</v>
      </c>
      <c r="D107" s="30">
        <f t="shared" si="24"/>
        <v>0</v>
      </c>
      <c r="E107" s="38">
        <f t="shared" si="19"/>
        <v>711.53846153845996</v>
      </c>
      <c r="F107" s="39">
        <f t="shared" si="20"/>
        <v>177.88461538461499</v>
      </c>
      <c r="G107" s="39">
        <f t="shared" si="21"/>
        <v>0</v>
      </c>
      <c r="H107" s="39">
        <f t="shared" si="27"/>
        <v>977.88461538461502</v>
      </c>
      <c r="I107" s="38">
        <f t="shared" si="28"/>
        <v>-266.34615384615506</v>
      </c>
      <c r="J107" s="79"/>
      <c r="K107" s="79"/>
      <c r="L107" s="38"/>
      <c r="M107" s="38"/>
      <c r="N107">
        <f t="shared" si="25"/>
        <v>0</v>
      </c>
      <c r="O107">
        <f t="shared" si="26"/>
        <v>0</v>
      </c>
    </row>
    <row r="108" spans="1:15" x14ac:dyDescent="0.25">
      <c r="A108" s="4">
        <f t="shared" si="29"/>
        <v>0.52999999999999958</v>
      </c>
      <c r="B108" s="30">
        <f t="shared" si="22"/>
        <v>3461.5384615384532</v>
      </c>
      <c r="C108" s="30">
        <f t="shared" si="23"/>
        <v>0</v>
      </c>
      <c r="D108" s="30">
        <f t="shared" si="24"/>
        <v>0</v>
      </c>
      <c r="E108" s="38">
        <f t="shared" si="19"/>
        <v>692.30769230769067</v>
      </c>
      <c r="F108" s="39">
        <f t="shared" si="20"/>
        <v>173.07692307692267</v>
      </c>
      <c r="G108" s="39">
        <f t="shared" si="21"/>
        <v>0</v>
      </c>
      <c r="H108" s="39">
        <f t="shared" si="27"/>
        <v>973.07692307692264</v>
      </c>
      <c r="I108" s="38">
        <f t="shared" si="28"/>
        <v>-280.76923076923197</v>
      </c>
      <c r="J108" s="79"/>
      <c r="K108" s="79"/>
      <c r="L108" s="38"/>
      <c r="M108" s="38"/>
      <c r="N108">
        <f t="shared" si="25"/>
        <v>0</v>
      </c>
      <c r="O108">
        <f t="shared" si="26"/>
        <v>0</v>
      </c>
    </row>
    <row r="109" spans="1:15" x14ac:dyDescent="0.25">
      <c r="A109" s="4">
        <f t="shared" si="29"/>
        <v>0.52499999999999958</v>
      </c>
      <c r="B109" s="30">
        <f t="shared" si="22"/>
        <v>3365.3846153846061</v>
      </c>
      <c r="C109" s="30">
        <f t="shared" si="23"/>
        <v>0</v>
      </c>
      <c r="D109" s="30">
        <f t="shared" si="24"/>
        <v>0</v>
      </c>
      <c r="E109" s="38">
        <f t="shared" ref="E109:E114" si="30">C$6*B109</f>
        <v>673.07692307692128</v>
      </c>
      <c r="F109" s="39">
        <f t="shared" ref="F109:F114" si="31">D$6*B109</f>
        <v>168.26923076923032</v>
      </c>
      <c r="G109" s="39">
        <f t="shared" ref="G109:G114" si="32">E$6*10*D109</f>
        <v>0</v>
      </c>
      <c r="H109" s="39">
        <f t="shared" si="27"/>
        <v>968.26923076923026</v>
      </c>
      <c r="I109" s="38">
        <f t="shared" si="28"/>
        <v>-295.19230769230899</v>
      </c>
      <c r="J109" s="79"/>
      <c r="K109" s="79"/>
      <c r="L109" s="38"/>
      <c r="M109" s="38"/>
      <c r="N109">
        <f t="shared" si="25"/>
        <v>0</v>
      </c>
      <c r="O109">
        <f t="shared" si="26"/>
        <v>0</v>
      </c>
    </row>
    <row r="110" spans="1:15" x14ac:dyDescent="0.25">
      <c r="A110" s="4">
        <f t="shared" si="29"/>
        <v>0.51999999999999957</v>
      </c>
      <c r="B110" s="30">
        <f t="shared" ref="B110:B114" si="33">B$6*(MAX(0,U$5+U$6*A110+U$7*A110^2))</f>
        <v>3269.2307692307604</v>
      </c>
      <c r="C110" s="30">
        <f t="shared" si="23"/>
        <v>0</v>
      </c>
      <c r="D110" s="30">
        <f t="shared" ref="D110:D114" si="34">C110/(MIN(1,U$14+U$15*A110+U$16*A110^2))</f>
        <v>0</v>
      </c>
      <c r="E110" s="38">
        <f t="shared" si="30"/>
        <v>653.84615384615211</v>
      </c>
      <c r="F110" s="39">
        <f t="shared" si="31"/>
        <v>163.46153846153803</v>
      </c>
      <c r="G110" s="39">
        <f t="shared" si="32"/>
        <v>0</v>
      </c>
      <c r="H110" s="39">
        <f t="shared" si="27"/>
        <v>963.461538461538</v>
      </c>
      <c r="I110" s="38">
        <f t="shared" si="28"/>
        <v>-309.61538461538589</v>
      </c>
      <c r="J110" s="79"/>
      <c r="K110" s="79"/>
      <c r="L110" s="38"/>
      <c r="M110" s="38"/>
      <c r="N110">
        <f t="shared" si="25"/>
        <v>0</v>
      </c>
      <c r="O110">
        <f t="shared" si="26"/>
        <v>0</v>
      </c>
    </row>
    <row r="111" spans="1:15" x14ac:dyDescent="0.25">
      <c r="A111" s="4">
        <f t="shared" si="29"/>
        <v>0.51499999999999957</v>
      </c>
      <c r="B111" s="30">
        <f t="shared" si="33"/>
        <v>3173.0769230769147</v>
      </c>
      <c r="C111" s="30">
        <f t="shared" si="23"/>
        <v>0</v>
      </c>
      <c r="D111" s="30">
        <f t="shared" si="34"/>
        <v>0</v>
      </c>
      <c r="E111" s="38">
        <f t="shared" si="30"/>
        <v>634.61538461538294</v>
      </c>
      <c r="F111" s="39">
        <f t="shared" si="31"/>
        <v>158.65384615384573</v>
      </c>
      <c r="G111" s="39">
        <f t="shared" si="32"/>
        <v>0</v>
      </c>
      <c r="H111" s="39">
        <f t="shared" si="27"/>
        <v>958.65384615384573</v>
      </c>
      <c r="I111" s="38">
        <f t="shared" si="28"/>
        <v>-324.0384615384628</v>
      </c>
      <c r="J111" s="79"/>
      <c r="K111" s="79"/>
      <c r="L111" s="38"/>
      <c r="M111" s="38"/>
      <c r="N111">
        <f t="shared" si="25"/>
        <v>0</v>
      </c>
      <c r="O111">
        <f t="shared" si="26"/>
        <v>0</v>
      </c>
    </row>
    <row r="112" spans="1:15" x14ac:dyDescent="0.25">
      <c r="A112" s="4">
        <f t="shared" si="29"/>
        <v>0.50999999999999956</v>
      </c>
      <c r="B112" s="30">
        <f t="shared" si="33"/>
        <v>3076.9230769230676</v>
      </c>
      <c r="C112" s="30">
        <f t="shared" si="23"/>
        <v>0</v>
      </c>
      <c r="D112" s="30">
        <f t="shared" si="34"/>
        <v>0</v>
      </c>
      <c r="E112" s="38">
        <f t="shared" si="30"/>
        <v>615.38461538461354</v>
      </c>
      <c r="F112" s="39">
        <f t="shared" si="31"/>
        <v>153.84615384615338</v>
      </c>
      <c r="G112" s="39">
        <f t="shared" si="32"/>
        <v>0</v>
      </c>
      <c r="H112" s="39">
        <f t="shared" si="27"/>
        <v>953.84615384615336</v>
      </c>
      <c r="I112" s="38">
        <f t="shared" si="28"/>
        <v>-338.46153846153982</v>
      </c>
      <c r="J112" s="79"/>
      <c r="K112" s="79"/>
      <c r="L112" s="38"/>
      <c r="M112" s="38"/>
      <c r="N112">
        <f t="shared" si="25"/>
        <v>0</v>
      </c>
      <c r="O112">
        <f t="shared" si="26"/>
        <v>0</v>
      </c>
    </row>
    <row r="113" spans="1:15" x14ac:dyDescent="0.25">
      <c r="A113" s="4">
        <f t="shared" si="29"/>
        <v>0.50499999999999956</v>
      </c>
      <c r="B113" s="30">
        <f t="shared" si="33"/>
        <v>2980.7692307692214</v>
      </c>
      <c r="C113" s="30">
        <f t="shared" si="23"/>
        <v>0</v>
      </c>
      <c r="D113" s="30">
        <f t="shared" si="34"/>
        <v>0</v>
      </c>
      <c r="E113" s="38">
        <f t="shared" si="30"/>
        <v>596.15384615384426</v>
      </c>
      <c r="F113" s="39">
        <f t="shared" si="31"/>
        <v>149.03846153846106</v>
      </c>
      <c r="G113" s="39">
        <f t="shared" si="32"/>
        <v>0</v>
      </c>
      <c r="H113" s="39">
        <f t="shared" si="27"/>
        <v>949.03846153846109</v>
      </c>
      <c r="I113" s="38">
        <f t="shared" si="28"/>
        <v>-352.88461538461684</v>
      </c>
      <c r="J113" s="79"/>
      <c r="K113" s="79"/>
      <c r="L113" s="38"/>
      <c r="M113" s="38"/>
      <c r="N113">
        <f t="shared" si="25"/>
        <v>0</v>
      </c>
      <c r="O113">
        <f t="shared" si="26"/>
        <v>0</v>
      </c>
    </row>
    <row r="114" spans="1:15" x14ac:dyDescent="0.25">
      <c r="A114" s="4">
        <f t="shared" si="29"/>
        <v>0.49999999999999956</v>
      </c>
      <c r="B114" s="30">
        <f t="shared" si="33"/>
        <v>2884.6153846153757</v>
      </c>
      <c r="C114" s="30">
        <f t="shared" si="23"/>
        <v>0</v>
      </c>
      <c r="D114" s="30">
        <f t="shared" si="34"/>
        <v>0</v>
      </c>
      <c r="E114" s="38">
        <f t="shared" si="30"/>
        <v>576.9230769230752</v>
      </c>
      <c r="F114" s="39">
        <f t="shared" si="31"/>
        <v>144.2307692307688</v>
      </c>
      <c r="G114" s="39">
        <f t="shared" si="32"/>
        <v>0</v>
      </c>
      <c r="H114" s="39">
        <f t="shared" si="27"/>
        <v>944.23076923076883</v>
      </c>
      <c r="I114" s="38">
        <f t="shared" si="28"/>
        <v>-367.30769230769363</v>
      </c>
      <c r="J114" s="79"/>
      <c r="K114" s="79"/>
      <c r="L114" s="38"/>
      <c r="M114" s="38"/>
      <c r="N114">
        <f t="shared" si="25"/>
        <v>0</v>
      </c>
      <c r="O114">
        <f t="shared" si="26"/>
        <v>0</v>
      </c>
    </row>
    <row r="126" spans="1:15" x14ac:dyDescent="0.25">
      <c r="K126" s="14"/>
      <c r="L126" s="14"/>
      <c r="M126" s="14"/>
      <c r="N126" s="14"/>
    </row>
    <row r="127" spans="1:15" x14ac:dyDescent="0.25">
      <c r="K127" s="14"/>
      <c r="L127" s="14"/>
      <c r="M127" s="14"/>
      <c r="N127" s="14"/>
    </row>
    <row r="128" spans="1:15" x14ac:dyDescent="0.25">
      <c r="K128" s="14"/>
      <c r="L128" s="14"/>
      <c r="M128" s="14"/>
      <c r="N128" s="14"/>
    </row>
    <row r="129" spans="11:14" x14ac:dyDescent="0.25">
      <c r="K129" s="14"/>
      <c r="L129" s="14"/>
      <c r="M129" s="14"/>
      <c r="N129" s="14"/>
    </row>
    <row r="130" spans="11:14" x14ac:dyDescent="0.25">
      <c r="K130" s="14"/>
      <c r="L130" s="14"/>
      <c r="M130" s="14"/>
      <c r="N130" s="14"/>
    </row>
    <row r="131" spans="11:14" x14ac:dyDescent="0.25">
      <c r="K131" s="14"/>
      <c r="L131" s="14"/>
      <c r="M131" s="14"/>
      <c r="N131" s="14"/>
    </row>
    <row r="132" spans="11:14" x14ac:dyDescent="0.25">
      <c r="K132" s="14"/>
      <c r="L132" s="14"/>
      <c r="M132" s="14"/>
      <c r="N132" s="14"/>
    </row>
    <row r="133" spans="11:14" x14ac:dyDescent="0.25">
      <c r="K133" s="14"/>
      <c r="L133" s="14"/>
      <c r="M133" s="14"/>
      <c r="N133" s="14"/>
    </row>
    <row r="134" spans="11:14" x14ac:dyDescent="0.25">
      <c r="K134" s="14"/>
      <c r="L134" s="14"/>
      <c r="M134" s="14"/>
      <c r="N134" s="14"/>
    </row>
    <row r="135" spans="11:14" x14ac:dyDescent="0.25">
      <c r="K135" s="14"/>
      <c r="L135" s="14"/>
      <c r="M135" s="14"/>
      <c r="N135" s="14"/>
    </row>
    <row r="136" spans="11:14" x14ac:dyDescent="0.25">
      <c r="K136" s="14"/>
      <c r="L136" s="14"/>
      <c r="M136" s="14"/>
      <c r="N136" s="14"/>
    </row>
    <row r="137" spans="11:14" x14ac:dyDescent="0.25">
      <c r="K137" s="14"/>
      <c r="L137" s="14"/>
      <c r="M137" s="14"/>
      <c r="N137" s="14"/>
    </row>
  </sheetData>
  <mergeCells count="2">
    <mergeCell ref="R3:S3"/>
    <mergeCell ref="T4:U4"/>
  </mergeCells>
  <pageMargins left="0.7" right="0.7" top="0.75" bottom="0.75" header="0.3" footer="0.3"/>
  <pageSetup orientation="portrait"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1611E-36A3-4528-AC27-45C85229565B}">
  <dimension ref="A1:X125"/>
  <sheetViews>
    <sheetView tabSelected="1" zoomScale="80" zoomScaleNormal="80" workbookViewId="0">
      <selection activeCell="I6" sqref="I6"/>
    </sheetView>
  </sheetViews>
  <sheetFormatPr defaultRowHeight="15" x14ac:dyDescent="0.25"/>
  <cols>
    <col min="1" max="1" width="9.85546875" customWidth="1"/>
    <col min="2" max="2" width="9.5703125" customWidth="1"/>
    <col min="3" max="3" width="9" customWidth="1"/>
    <col min="4" max="4" width="10.7109375" customWidth="1"/>
    <col min="5" max="5" width="9" customWidth="1"/>
    <col min="6" max="6" width="9.140625" customWidth="1"/>
    <col min="7" max="8" width="9.42578125" customWidth="1"/>
    <col min="9" max="9" width="10" customWidth="1"/>
    <col min="11" max="11" width="9.42578125" customWidth="1"/>
    <col min="14" max="14" width="9.42578125" customWidth="1"/>
    <col min="17" max="17" width="6" customWidth="1"/>
    <col min="21" max="21" width="9.28515625" customWidth="1"/>
    <col min="23" max="23" width="9.140625" customWidth="1"/>
    <col min="24" max="24" width="8.42578125" customWidth="1"/>
  </cols>
  <sheetData>
    <row r="1" spans="1:21" ht="18.75" x14ac:dyDescent="0.3">
      <c r="A1" s="158" t="s">
        <v>204</v>
      </c>
    </row>
    <row r="3" spans="1:21" x14ac:dyDescent="0.25">
      <c r="A3" t="s">
        <v>164</v>
      </c>
      <c r="M3" s="76" t="s">
        <v>68</v>
      </c>
      <c r="R3" s="155" t="s">
        <v>124</v>
      </c>
      <c r="S3" s="156"/>
      <c r="U3" s="2" t="s">
        <v>126</v>
      </c>
    </row>
    <row r="4" spans="1:21" x14ac:dyDescent="0.25">
      <c r="E4" s="2" t="s">
        <v>173</v>
      </c>
      <c r="M4" s="76"/>
      <c r="R4" s="2" t="s">
        <v>125</v>
      </c>
      <c r="T4" s="157" t="s">
        <v>112</v>
      </c>
      <c r="U4" s="157"/>
    </row>
    <row r="5" spans="1:21" ht="18.75" x14ac:dyDescent="0.35">
      <c r="B5" s="27" t="s">
        <v>159</v>
      </c>
      <c r="C5" s="1" t="s">
        <v>144</v>
      </c>
      <c r="D5" t="s">
        <v>169</v>
      </c>
      <c r="E5" s="1" t="s">
        <v>134</v>
      </c>
      <c r="F5" s="1" t="s">
        <v>136</v>
      </c>
      <c r="G5" s="1" t="s">
        <v>137</v>
      </c>
      <c r="H5" s="1" t="s">
        <v>140</v>
      </c>
      <c r="I5" s="1" t="s">
        <v>171</v>
      </c>
      <c r="J5" s="51" t="s">
        <v>139</v>
      </c>
      <c r="K5" s="1" t="s">
        <v>163</v>
      </c>
      <c r="M5" s="1" t="s">
        <v>134</v>
      </c>
      <c r="N5" s="1" t="s">
        <v>136</v>
      </c>
      <c r="O5" s="1" t="s">
        <v>137</v>
      </c>
      <c r="P5" s="1" t="s">
        <v>165</v>
      </c>
      <c r="R5" s="3" t="s">
        <v>30</v>
      </c>
      <c r="S5" s="62">
        <f>'WPF Model'!B6</f>
        <v>0.35</v>
      </c>
      <c r="T5" s="3" t="s">
        <v>26</v>
      </c>
      <c r="U5" s="72">
        <f>(S6-S5+S7*S5-S7*S5^2)/(1-S5)</f>
        <v>-0.53846153846153844</v>
      </c>
    </row>
    <row r="6" spans="1:21" ht="18" x14ac:dyDescent="0.35">
      <c r="A6" s="1"/>
      <c r="B6" s="36">
        <v>12500</v>
      </c>
      <c r="C6" s="36">
        <v>300</v>
      </c>
      <c r="D6" s="77">
        <f>(S17-S18*S8-S19*S11)/S14</f>
        <v>520</v>
      </c>
      <c r="E6" s="42">
        <v>0.2</v>
      </c>
      <c r="F6" s="42">
        <v>0.05</v>
      </c>
      <c r="G6" s="42">
        <v>0.04</v>
      </c>
      <c r="H6" s="43">
        <v>800</v>
      </c>
      <c r="I6" s="42">
        <v>0.2</v>
      </c>
      <c r="J6" s="42">
        <v>0.05</v>
      </c>
      <c r="K6" s="43">
        <v>400</v>
      </c>
      <c r="M6" s="52">
        <v>0.18</v>
      </c>
      <c r="N6" s="52">
        <v>0.05</v>
      </c>
      <c r="O6" s="52">
        <v>0.04</v>
      </c>
      <c r="P6" s="53">
        <v>1200</v>
      </c>
      <c r="R6" s="23" t="s">
        <v>31</v>
      </c>
      <c r="S6" s="62">
        <f>'WPF Model'!B7</f>
        <v>0</v>
      </c>
      <c r="T6" s="23" t="s">
        <v>27</v>
      </c>
      <c r="U6" s="72">
        <f>(S6-1+S7-S7*S5^2)/(S5-1)</f>
        <v>1.5384615384615383</v>
      </c>
    </row>
    <row r="7" spans="1:21" ht="18.75" x14ac:dyDescent="0.35">
      <c r="B7" s="1" t="s">
        <v>142</v>
      </c>
      <c r="C7" s="1" t="s">
        <v>145</v>
      </c>
      <c r="D7" t="s">
        <v>170</v>
      </c>
      <c r="E7" s="1" t="s">
        <v>143</v>
      </c>
      <c r="F7" s="1" t="s">
        <v>146</v>
      </c>
      <c r="G7" s="51" t="s">
        <v>148</v>
      </c>
      <c r="H7" s="1" t="s">
        <v>147</v>
      </c>
      <c r="I7" s="1" t="s">
        <v>172</v>
      </c>
      <c r="J7" s="51" t="s">
        <v>149</v>
      </c>
      <c r="K7" s="1" t="s">
        <v>163</v>
      </c>
      <c r="M7" s="27" t="s">
        <v>69</v>
      </c>
      <c r="R7" s="54" t="s">
        <v>28</v>
      </c>
      <c r="S7" s="62">
        <f>'WPF Model'!B8</f>
        <v>0</v>
      </c>
      <c r="T7" s="54" t="s">
        <v>28</v>
      </c>
      <c r="U7" s="62">
        <f>S7</f>
        <v>0</v>
      </c>
    </row>
    <row r="8" spans="1:21" ht="18" x14ac:dyDescent="0.35">
      <c r="B8" s="77">
        <f>B6*2.2/56/2.47</f>
        <v>198.81434355118566</v>
      </c>
      <c r="C8" s="82">
        <f>C6/25.4</f>
        <v>11.811023622047244</v>
      </c>
      <c r="D8" s="82">
        <f>D6/25.4</f>
        <v>20.472440944881892</v>
      </c>
      <c r="E8" s="44">
        <f>E6*56/2.2</f>
        <v>5.0909090909090908</v>
      </c>
      <c r="F8" s="44">
        <f>F6*56/2.2</f>
        <v>1.2727272727272727</v>
      </c>
      <c r="G8" s="44">
        <f>10*G6*305/2.47</f>
        <v>49.392712550607285</v>
      </c>
      <c r="H8" s="45">
        <f>H6/2.47</f>
        <v>323.88663967611336</v>
      </c>
      <c r="I8" s="44">
        <f>I6*56/2.2</f>
        <v>5.0909090909090908</v>
      </c>
      <c r="J8" s="100">
        <f>J6/2.47</f>
        <v>2.0242914979757085E-2</v>
      </c>
      <c r="K8" s="45">
        <f>K6/2.47</f>
        <v>161.94331983805668</v>
      </c>
      <c r="R8" s="3" t="s">
        <v>45</v>
      </c>
      <c r="S8" s="62">
        <f>IrrReq!B9</f>
        <v>0.7</v>
      </c>
      <c r="T8" s="1" t="s">
        <v>42</v>
      </c>
      <c r="U8" s="72">
        <f>$S8-$U9-$S10</f>
        <v>0.8</v>
      </c>
    </row>
    <row r="9" spans="1:21" ht="18" x14ac:dyDescent="0.35">
      <c r="R9" s="23" t="s">
        <v>46</v>
      </c>
      <c r="S9" s="62">
        <f>IrrReq!B10</f>
        <v>0.5</v>
      </c>
      <c r="T9" s="1" t="s">
        <v>41</v>
      </c>
      <c r="U9" s="72">
        <f>($S8-1-$S10*(1-$S9*$S9))/(1-$S9)</f>
        <v>0.89999999999999991</v>
      </c>
    </row>
    <row r="10" spans="1:21" x14ac:dyDescent="0.25">
      <c r="A10" s="57" t="s">
        <v>129</v>
      </c>
      <c r="B10" s="122"/>
      <c r="C10" s="123"/>
      <c r="D10" s="123"/>
      <c r="E10" s="124"/>
      <c r="F10" s="125"/>
      <c r="G10" s="124"/>
      <c r="H10" s="126"/>
      <c r="I10" s="124"/>
      <c r="J10" s="126"/>
      <c r="K10" s="18"/>
      <c r="L10" s="18"/>
      <c r="M10" s="18"/>
      <c r="N10" s="18"/>
      <c r="O10" s="19"/>
      <c r="R10" s="54" t="s">
        <v>40</v>
      </c>
      <c r="S10" s="62">
        <f>IrrReq!B11</f>
        <v>-1</v>
      </c>
      <c r="T10" s="54" t="s">
        <v>40</v>
      </c>
      <c r="U10" s="62">
        <f>S10</f>
        <v>-1</v>
      </c>
    </row>
    <row r="11" spans="1:21" ht="18" x14ac:dyDescent="0.35">
      <c r="A11" s="127" t="s">
        <v>123</v>
      </c>
      <c r="B11" s="118"/>
      <c r="C11" s="119">
        <f>(IrrReq!B43+IrrReq!B44)/IrrReq!B45</f>
        <v>0.59523809523809523</v>
      </c>
      <c r="D11" s="79">
        <f>(C12+C13)/IrrReq!$B45</f>
        <v>0.58195659216067386</v>
      </c>
      <c r="E11" s="79">
        <f>(C11+D11)/2</f>
        <v>0.58859734369938455</v>
      </c>
      <c r="F11" s="79">
        <f>(E12+E13)/IrrReq!$B45</f>
        <v>0.58330293546629142</v>
      </c>
      <c r="G11" s="79">
        <f>(E11+F11)/2</f>
        <v>0.58595013958283793</v>
      </c>
      <c r="H11" s="79">
        <f>(G12+G13)/IrrReq!$B45</f>
        <v>0.58382206634338585</v>
      </c>
      <c r="I11" s="79">
        <f>(H12+H13)/IrrReq!$B45</f>
        <v>0.58423213420922848</v>
      </c>
      <c r="J11" s="79">
        <f>(I12+I13)/IrrReq!$B45</f>
        <v>0.58415361962783496</v>
      </c>
      <c r="K11" s="79">
        <f>(J12+J13)/IrrReq!$B45</f>
        <v>0.58416867119577398</v>
      </c>
      <c r="L11" s="79">
        <f>(K12+K13)/IrrReq!$B45</f>
        <v>0.58416578643063843</v>
      </c>
      <c r="M11" s="79">
        <f>(L12+L13)/IrrReq!$B45</f>
        <v>0.58416633934627271</v>
      </c>
      <c r="N11" s="79">
        <f>(M12+M13)/IrrReq!$B45</f>
        <v>0.58416623337125295</v>
      </c>
      <c r="O11" s="61"/>
      <c r="R11" s="3" t="s">
        <v>50</v>
      </c>
      <c r="S11" s="62">
        <f>IrrReq!B21</f>
        <v>0.4</v>
      </c>
      <c r="T11" s="1" t="s">
        <v>53</v>
      </c>
      <c r="U11" s="72">
        <f>$S11-$U12-$S13</f>
        <v>0.60000000000000009</v>
      </c>
    </row>
    <row r="12" spans="1:21" ht="18" x14ac:dyDescent="0.35">
      <c r="A12" s="64" t="s">
        <v>130</v>
      </c>
      <c r="B12" s="14"/>
      <c r="C12" s="84">
        <f t="shared" ref="C12:N12" si="0">$S18*(MIN(1,$U8+$U9*C$11+$U10*C$11*C$11))</f>
        <v>294.42176870748301</v>
      </c>
      <c r="D12" s="84">
        <f t="shared" si="0"/>
        <v>295.5262373356025</v>
      </c>
      <c r="E12" s="84">
        <f t="shared" si="0"/>
        <v>294.9872328958424</v>
      </c>
      <c r="F12" s="84">
        <f t="shared" si="0"/>
        <v>295.41909821882086</v>
      </c>
      <c r="G12" s="84">
        <f t="shared" si="0"/>
        <v>295.20526786422204</v>
      </c>
      <c r="H12" s="84">
        <f t="shared" si="0"/>
        <v>295.37749636787595</v>
      </c>
      <c r="I12" s="84">
        <f t="shared" si="0"/>
        <v>295.34452024369068</v>
      </c>
      <c r="J12" s="84">
        <f t="shared" si="0"/>
        <v>295.35084190222506</v>
      </c>
      <c r="K12" s="84">
        <f t="shared" si="0"/>
        <v>295.34963030086811</v>
      </c>
      <c r="L12" s="84">
        <f t="shared" si="0"/>
        <v>295.3498625254345</v>
      </c>
      <c r="M12" s="84">
        <f t="shared" si="0"/>
        <v>295.34981801592625</v>
      </c>
      <c r="N12" s="84">
        <f t="shared" si="0"/>
        <v>295.34982654689117</v>
      </c>
      <c r="O12" s="75" t="s">
        <v>15</v>
      </c>
      <c r="R12" s="23" t="s">
        <v>51</v>
      </c>
      <c r="S12" s="62">
        <f>IrrReq!B22</f>
        <v>0.5</v>
      </c>
      <c r="T12" s="1" t="s">
        <v>54</v>
      </c>
      <c r="U12" s="72">
        <f>($S11-1-$S13*(1-$S12*$S12))/(1-$S12)</f>
        <v>1.8</v>
      </c>
    </row>
    <row r="13" spans="1:21" ht="15.75" customHeight="1" x14ac:dyDescent="0.25">
      <c r="A13" s="64" t="s">
        <v>113</v>
      </c>
      <c r="B13" s="14"/>
      <c r="C13" s="84">
        <f t="shared" ref="C13:N13" si="1">$S19*(MIN(1,$U11+$U12*C$11+$U13*C$11*C$11))</f>
        <v>72.210884353741505</v>
      </c>
      <c r="D13" s="84">
        <f t="shared" si="1"/>
        <v>72.763118667801237</v>
      </c>
      <c r="E13" s="84">
        <f t="shared" si="1"/>
        <v>72.493616447921212</v>
      </c>
      <c r="F13" s="84">
        <f t="shared" si="1"/>
        <v>72.709549109410474</v>
      </c>
      <c r="G13" s="84">
        <f t="shared" si="1"/>
        <v>72.602633932111033</v>
      </c>
      <c r="H13" s="84">
        <f t="shared" si="1"/>
        <v>72.688748183937975</v>
      </c>
      <c r="I13" s="84">
        <f t="shared" si="1"/>
        <v>72.672260121845355</v>
      </c>
      <c r="J13" s="84">
        <f t="shared" si="1"/>
        <v>72.675420951112528</v>
      </c>
      <c r="K13" s="84">
        <f t="shared" si="1"/>
        <v>72.674815150434057</v>
      </c>
      <c r="L13" s="84">
        <f t="shared" si="1"/>
        <v>72.674931262717251</v>
      </c>
      <c r="M13" s="84">
        <f t="shared" si="1"/>
        <v>72.674909007963123</v>
      </c>
      <c r="N13" s="84">
        <f t="shared" si="1"/>
        <v>72.674913273445583</v>
      </c>
      <c r="O13" s="75" t="s">
        <v>15</v>
      </c>
      <c r="R13" s="54" t="s">
        <v>52</v>
      </c>
      <c r="S13" s="62">
        <f>IrrReq!B23</f>
        <v>-2</v>
      </c>
      <c r="T13" s="54" t="s">
        <v>52</v>
      </c>
      <c r="U13" s="62">
        <f>S13</f>
        <v>-2</v>
      </c>
    </row>
    <row r="14" spans="1:21" x14ac:dyDescent="0.25">
      <c r="A14" s="108" t="s">
        <v>128</v>
      </c>
      <c r="B14" s="14"/>
      <c r="C14" s="84">
        <f t="shared" ref="C14:N14" si="2">($U5+$U6*(C12+C13)/$S17+$U7*((C12+C13)/$S17)^2)*$B6</f>
        <v>4460.703695397573</v>
      </c>
      <c r="D14" s="84">
        <f t="shared" si="2"/>
        <v>4511.2746032785017</v>
      </c>
      <c r="E14" s="84">
        <f t="shared" si="2"/>
        <v>4486.5949128132961</v>
      </c>
      <c r="F14" s="84">
        <f t="shared" si="2"/>
        <v>4506.3689660632263</v>
      </c>
      <c r="G14" s="84">
        <f t="shared" si="2"/>
        <v>4496.5781989112638</v>
      </c>
      <c r="H14" s="84">
        <f t="shared" si="2"/>
        <v>4504.4641194082396</v>
      </c>
      <c r="I14" s="84">
        <f t="shared" si="2"/>
        <v>4502.9542236122088</v>
      </c>
      <c r="J14" s="84">
        <f t="shared" si="2"/>
        <v>4503.2436768418056</v>
      </c>
      <c r="K14" s="84">
        <f t="shared" si="2"/>
        <v>4503.1882005891994</v>
      </c>
      <c r="L14" s="84">
        <f t="shared" si="2"/>
        <v>4503.1988335821661</v>
      </c>
      <c r="M14" s="84">
        <f t="shared" si="2"/>
        <v>4503.1967956010167</v>
      </c>
      <c r="N14" s="73">
        <f t="shared" si="2"/>
        <v>4503.1971862129667</v>
      </c>
      <c r="O14" s="75" t="s">
        <v>20</v>
      </c>
      <c r="R14" s="3" t="s">
        <v>24</v>
      </c>
      <c r="S14" s="62">
        <f>IrrReq!B33</f>
        <v>0.75</v>
      </c>
      <c r="T14" s="1" t="s">
        <v>37</v>
      </c>
      <c r="U14" s="72">
        <f>$S14-$U15-$S16</f>
        <v>1</v>
      </c>
    </row>
    <row r="15" spans="1:21" x14ac:dyDescent="0.25">
      <c r="A15" s="128"/>
      <c r="B15" s="20"/>
      <c r="C15" s="129"/>
      <c r="D15" s="129"/>
      <c r="E15" s="129"/>
      <c r="F15" s="129"/>
      <c r="G15" s="129"/>
      <c r="H15" s="129"/>
      <c r="I15" s="129"/>
      <c r="J15" s="129"/>
      <c r="K15" s="129"/>
      <c r="L15" s="20" t="s">
        <v>133</v>
      </c>
      <c r="M15" s="20"/>
      <c r="N15" s="74">
        <f>N11*S17</f>
        <v>368.02472702388934</v>
      </c>
      <c r="O15" s="109" t="s">
        <v>15</v>
      </c>
      <c r="R15" s="23" t="s">
        <v>71</v>
      </c>
      <c r="S15" s="62">
        <f>IrrReq!B34</f>
        <v>0.5</v>
      </c>
      <c r="T15" s="1" t="s">
        <v>38</v>
      </c>
      <c r="U15" s="72">
        <f>($S14-1-$S16*(1-$S15*$S15))/(1-$S15)</f>
        <v>0.25</v>
      </c>
    </row>
    <row r="16" spans="1:21" x14ac:dyDescent="0.25">
      <c r="A16" s="48"/>
      <c r="B16" s="14"/>
      <c r="C16" s="84"/>
      <c r="D16" s="88"/>
      <c r="E16" s="84"/>
      <c r="F16" s="84"/>
      <c r="G16" s="84"/>
      <c r="H16" s="84"/>
      <c r="I16" s="84"/>
      <c r="J16" s="14"/>
      <c r="K16" s="84"/>
      <c r="L16" s="84"/>
      <c r="M16" s="84"/>
      <c r="N16" s="73"/>
      <c r="O16" s="121"/>
      <c r="R16" s="54" t="s">
        <v>36</v>
      </c>
      <c r="S16" s="62">
        <f>IrrReq!B35</f>
        <v>-0.5</v>
      </c>
      <c r="T16" s="54" t="s">
        <v>36</v>
      </c>
      <c r="U16" s="62">
        <f>S16</f>
        <v>-0.5</v>
      </c>
    </row>
    <row r="17" spans="1:24" ht="18" x14ac:dyDescent="0.35">
      <c r="A17" s="120"/>
      <c r="B17" s="14"/>
      <c r="C17" s="12"/>
      <c r="D17" s="14"/>
      <c r="E17" s="14"/>
      <c r="F17" s="14"/>
      <c r="G17" s="14"/>
      <c r="H17" s="14"/>
      <c r="I17" s="14"/>
      <c r="J17" s="14"/>
      <c r="K17" s="14"/>
      <c r="L17" s="14"/>
      <c r="M17" s="14"/>
      <c r="N17" s="14"/>
      <c r="O17" s="14"/>
      <c r="P17" s="73"/>
      <c r="R17" s="89" t="s">
        <v>131</v>
      </c>
      <c r="S17" s="71">
        <f>IrrReq!B45</f>
        <v>630</v>
      </c>
      <c r="T17" s="3" t="s">
        <v>174</v>
      </c>
      <c r="U17" s="77">
        <f>IrrReq!B81*B6</f>
        <v>4503.8095238095239</v>
      </c>
      <c r="W17" s="51"/>
      <c r="X17" s="51"/>
    </row>
    <row r="18" spans="1:24" ht="18" x14ac:dyDescent="0.35">
      <c r="B18" s="14"/>
      <c r="C18" s="14"/>
      <c r="D18" s="88"/>
      <c r="E18" s="85"/>
      <c r="F18" s="86"/>
      <c r="G18" s="85"/>
      <c r="H18" s="85"/>
      <c r="I18" s="85"/>
      <c r="J18" s="85"/>
      <c r="K18" s="85"/>
      <c r="L18" s="85"/>
      <c r="M18" s="85"/>
      <c r="N18" s="85"/>
      <c r="O18" s="87"/>
      <c r="R18" s="90" t="s">
        <v>106</v>
      </c>
      <c r="S18" s="71">
        <f>IrrReq!B43</f>
        <v>300</v>
      </c>
      <c r="T18" s="23" t="s">
        <v>175</v>
      </c>
      <c r="U18" s="62">
        <f>IrrReq!B83*B6</f>
        <v>22.45980127234883</v>
      </c>
      <c r="W18" s="1"/>
      <c r="X18" s="1"/>
    </row>
    <row r="19" spans="1:24" ht="18" x14ac:dyDescent="0.35">
      <c r="A19" s="4"/>
      <c r="B19" s="14"/>
      <c r="C19" s="14"/>
      <c r="D19" s="14"/>
      <c r="E19" s="85"/>
      <c r="F19" s="85"/>
      <c r="G19" s="85"/>
      <c r="H19" s="116" t="s">
        <v>177</v>
      </c>
      <c r="I19" s="115">
        <f>N14</f>
        <v>4503.1971862129667</v>
      </c>
      <c r="J19" s="85" t="s">
        <v>20</v>
      </c>
      <c r="K19" s="85"/>
      <c r="L19" s="85"/>
      <c r="M19" s="85"/>
      <c r="N19" s="85"/>
      <c r="O19" s="85"/>
      <c r="P19" s="73"/>
      <c r="R19" s="91" t="s">
        <v>107</v>
      </c>
      <c r="S19" s="71">
        <f>IrrReq!B44</f>
        <v>75</v>
      </c>
      <c r="T19" s="54" t="s">
        <v>176</v>
      </c>
      <c r="U19" s="111">
        <f>IrrReq!B82*B6</f>
        <v>-1.3620215182806638E-2</v>
      </c>
      <c r="W19" s="1"/>
      <c r="X19" s="1"/>
    </row>
    <row r="20" spans="1:24" x14ac:dyDescent="0.25">
      <c r="A20" s="35"/>
      <c r="F20" s="2"/>
      <c r="H20" s="1" t="s">
        <v>194</v>
      </c>
      <c r="I20" s="110">
        <f>(I6-J6)*I19</f>
        <v>675.47957793194507</v>
      </c>
      <c r="J20" t="s">
        <v>22</v>
      </c>
      <c r="P20" s="14"/>
      <c r="W20" s="1"/>
      <c r="X20" s="1"/>
    </row>
    <row r="21" spans="1:24" x14ac:dyDescent="0.25">
      <c r="A21" s="2" t="s">
        <v>110</v>
      </c>
      <c r="B21" s="37" t="s">
        <v>111</v>
      </c>
      <c r="H21" t="s">
        <v>195</v>
      </c>
      <c r="I21" s="117">
        <f>K6</f>
        <v>400</v>
      </c>
      <c r="J21" t="s">
        <v>22</v>
      </c>
    </row>
    <row r="22" spans="1:24" ht="18" x14ac:dyDescent="0.35">
      <c r="A22" s="3" t="s">
        <v>5</v>
      </c>
      <c r="B22" s="11" t="s">
        <v>162</v>
      </c>
      <c r="C22" s="11" t="s">
        <v>64</v>
      </c>
      <c r="D22" s="11" t="s">
        <v>151</v>
      </c>
      <c r="E22" s="11" t="s">
        <v>135</v>
      </c>
      <c r="F22" s="11" t="s">
        <v>138</v>
      </c>
      <c r="G22" s="11" t="s">
        <v>154</v>
      </c>
      <c r="H22" s="11" t="s">
        <v>118</v>
      </c>
      <c r="I22" s="83" t="s">
        <v>127</v>
      </c>
      <c r="J22" s="28" t="s">
        <v>119</v>
      </c>
      <c r="K22" s="28" t="s">
        <v>121</v>
      </c>
      <c r="L22" s="28" t="s">
        <v>118</v>
      </c>
      <c r="M22" s="28" t="s">
        <v>127</v>
      </c>
      <c r="N22" s="29" t="s">
        <v>122</v>
      </c>
      <c r="R22" s="14"/>
      <c r="S22" s="25"/>
    </row>
    <row r="23" spans="1:24" x14ac:dyDescent="0.25">
      <c r="A23" s="23"/>
      <c r="B23" s="40" t="s">
        <v>23</v>
      </c>
      <c r="C23" s="40" t="s">
        <v>15</v>
      </c>
      <c r="D23" s="40" t="s">
        <v>15</v>
      </c>
      <c r="E23" s="40" t="s">
        <v>22</v>
      </c>
      <c r="F23" s="40" t="s">
        <v>22</v>
      </c>
      <c r="G23" s="40" t="s">
        <v>22</v>
      </c>
      <c r="H23" s="40" t="s">
        <v>22</v>
      </c>
      <c r="I23" s="80" t="s">
        <v>22</v>
      </c>
      <c r="J23" s="80" t="s">
        <v>120</v>
      </c>
      <c r="K23" s="80" t="s">
        <v>120</v>
      </c>
      <c r="L23" s="80" t="s">
        <v>22</v>
      </c>
      <c r="M23" s="80" t="s">
        <v>22</v>
      </c>
      <c r="N23" s="81" t="s">
        <v>22</v>
      </c>
      <c r="R23" s="14"/>
      <c r="S23" s="25"/>
    </row>
    <row r="24" spans="1:24" x14ac:dyDescent="0.25">
      <c r="A24" s="94" t="s">
        <v>168</v>
      </c>
      <c r="B24" s="95">
        <f>(U19*D24^2+U18*D24+U17)</f>
        <v>11774.598063794907</v>
      </c>
      <c r="C24" s="96"/>
      <c r="D24" s="132">
        <f>SQRT((U$17-(H$6+I$20-I$21)/(E$6-F$6))/U19)</f>
        <v>442.42790702200659</v>
      </c>
      <c r="E24" s="97">
        <f>E$6*B24</f>
        <v>2354.9196127589817</v>
      </c>
      <c r="F24" s="97">
        <f>F$6*B24</f>
        <v>588.72990318974541</v>
      </c>
      <c r="G24" s="97">
        <f>G$6*10*D24</f>
        <v>176.97116280880266</v>
      </c>
      <c r="H24" s="97">
        <f>E24-F24-G24-H$6</f>
        <v>789.21854676043358</v>
      </c>
      <c r="I24" s="97">
        <f>I$20-I$21-J$6</f>
        <v>275.42957793194506</v>
      </c>
      <c r="J24" s="86">
        <f t="shared" ref="J24:J89" si="3">IF(OR(D24/C$6&lt;1,D24=0), 1, C$6/D24)</f>
        <v>0.67807657527597565</v>
      </c>
      <c r="K24" s="98">
        <f>1-J24</f>
        <v>0.32192342472402435</v>
      </c>
      <c r="L24" s="97">
        <f>H24*J24</f>
        <v>535.15060933159725</v>
      </c>
      <c r="M24" s="97">
        <f>I24*K24</f>
        <v>88.667232998144314</v>
      </c>
      <c r="N24" s="99">
        <f>L24+M24</f>
        <v>623.81784232974155</v>
      </c>
      <c r="R24" s="14"/>
      <c r="S24" s="25"/>
    </row>
    <row r="25" spans="1:24" x14ac:dyDescent="0.25">
      <c r="A25" s="4">
        <v>1</v>
      </c>
      <c r="B25" s="30">
        <f t="shared" ref="B25:B60" si="4">B$6*(MAX(0,U$5+U$6*A25+U$7*A25^2))</f>
        <v>12499.999999999998</v>
      </c>
      <c r="C25" s="30">
        <f t="shared" ref="C25:C60" si="5">MAX(A25*S$17-S$18*(MIN(1,U$8+U$9*A25+U$10*A25^2))-S$19*(MIN(1,U$11+U$12*A25+U$13*A25^2)),0)</f>
        <v>390</v>
      </c>
      <c r="D25" s="30">
        <f t="shared" ref="D25:D60" si="6">C25/(MIN(1,U$14+U$15*A25+U$16*A25^2))</f>
        <v>520</v>
      </c>
      <c r="E25" s="39">
        <f>E$6*B25</f>
        <v>2500</v>
      </c>
      <c r="F25" s="39">
        <f>F$6*B25</f>
        <v>625</v>
      </c>
      <c r="G25" s="39">
        <f>G$6*10*D25</f>
        <v>208</v>
      </c>
      <c r="H25" s="39">
        <f>E25-F25-G25-H$6</f>
        <v>867</v>
      </c>
      <c r="I25" s="39">
        <f>I$20-I$21-J$6</f>
        <v>275.42957793194506</v>
      </c>
      <c r="J25" s="86">
        <f t="shared" si="3"/>
        <v>0.57692307692307687</v>
      </c>
      <c r="K25" s="86">
        <f>1-J25</f>
        <v>0.42307692307692313</v>
      </c>
      <c r="L25" s="39">
        <f>H25*J25</f>
        <v>500.19230769230762</v>
      </c>
      <c r="M25" s="39">
        <f>I25*K25</f>
        <v>116.52789835582293</v>
      </c>
      <c r="N25" s="112">
        <f>L25+M25</f>
        <v>616.72020604813054</v>
      </c>
      <c r="P25">
        <f t="shared" ref="P25:P56" si="7">IF($N25=$V$92,D25,0)</f>
        <v>0</v>
      </c>
      <c r="Q25">
        <f t="shared" ref="Q25:Q56" si="8">IF(N25=V$92,A25,0)</f>
        <v>0</v>
      </c>
      <c r="R25">
        <f t="shared" ref="R25:R56" si="9">IF($N25=$V$92,J25,0)</f>
        <v>0</v>
      </c>
      <c r="S25">
        <f t="shared" ref="S25:S56" si="10">IF($L25=$V$93,A25,0)</f>
        <v>0</v>
      </c>
      <c r="T25">
        <f t="shared" ref="T25:T56" si="11">IF($L25=$V$93,J25,0)</f>
        <v>0</v>
      </c>
    </row>
    <row r="26" spans="1:24" x14ac:dyDescent="0.25">
      <c r="A26" s="4">
        <f>A25-0.005</f>
        <v>0.995</v>
      </c>
      <c r="B26" s="30">
        <f t="shared" si="4"/>
        <v>12403.846153846152</v>
      </c>
      <c r="C26" s="30">
        <f t="shared" si="5"/>
        <v>384.38625000000002</v>
      </c>
      <c r="D26" s="30">
        <f t="shared" si="6"/>
        <v>509.97363140350592</v>
      </c>
      <c r="E26" s="39">
        <f t="shared" ref="E26:E89" si="12">E$6*B26</f>
        <v>2480.7692307692305</v>
      </c>
      <c r="F26" s="39">
        <f t="shared" ref="F26:F89" si="13">F$6*B26</f>
        <v>620.19230769230762</v>
      </c>
      <c r="G26" s="39">
        <f t="shared" ref="G26:G89" si="14">G$6*10*D26</f>
        <v>203.98945256140237</v>
      </c>
      <c r="H26" s="39">
        <f t="shared" ref="H26:H89" si="15">E26-F26-G26-H$6</f>
        <v>856.58747051552041</v>
      </c>
      <c r="I26" s="39">
        <f t="shared" ref="I26:I89" si="16">I$20-I$21-J$6</f>
        <v>275.42957793194506</v>
      </c>
      <c r="J26" s="86">
        <f t="shared" si="3"/>
        <v>0.58826570929631317</v>
      </c>
      <c r="K26" s="86">
        <f t="shared" ref="K26:K89" si="17">1-J26</f>
        <v>0.41173429070368683</v>
      </c>
      <c r="L26" s="39">
        <f t="shared" ref="L26:L89" si="18">H26*J26</f>
        <v>503.90103591714734</v>
      </c>
      <c r="M26" s="39">
        <f t="shared" ref="M26:M89" si="19">I26*K26</f>
        <v>113.40380190862524</v>
      </c>
      <c r="N26" s="112">
        <f t="shared" ref="N26:N89" si="20">L26+M26</f>
        <v>617.30483782577255</v>
      </c>
      <c r="P26">
        <f t="shared" si="7"/>
        <v>0</v>
      </c>
      <c r="Q26">
        <f t="shared" si="8"/>
        <v>0</v>
      </c>
      <c r="R26">
        <f t="shared" si="9"/>
        <v>0</v>
      </c>
      <c r="S26">
        <f t="shared" si="10"/>
        <v>0</v>
      </c>
      <c r="T26">
        <f t="shared" si="11"/>
        <v>0</v>
      </c>
    </row>
    <row r="27" spans="1:24" x14ac:dyDescent="0.25">
      <c r="A27" s="4">
        <f t="shared" ref="A27:A75" si="21">A26-0.005</f>
        <v>0.99</v>
      </c>
      <c r="B27" s="30">
        <f t="shared" si="4"/>
        <v>12307.692307692307</v>
      </c>
      <c r="C27" s="30">
        <f t="shared" si="5"/>
        <v>378.79500000000007</v>
      </c>
      <c r="D27" s="30">
        <f t="shared" si="6"/>
        <v>500.09241534094667</v>
      </c>
      <c r="E27" s="39">
        <f t="shared" si="12"/>
        <v>2461.5384615384614</v>
      </c>
      <c r="F27" s="39">
        <f t="shared" si="13"/>
        <v>615.38461538461536</v>
      </c>
      <c r="G27" s="39">
        <f t="shared" si="14"/>
        <v>200.03696613637868</v>
      </c>
      <c r="H27" s="39">
        <f t="shared" si="15"/>
        <v>846.11688001746757</v>
      </c>
      <c r="I27" s="39">
        <f t="shared" si="16"/>
        <v>275.42957793194506</v>
      </c>
      <c r="J27" s="86">
        <f t="shared" si="3"/>
        <v>0.59988912208450473</v>
      </c>
      <c r="K27" s="86">
        <f t="shared" si="17"/>
        <v>0.40011087791549527</v>
      </c>
      <c r="L27" s="39">
        <f t="shared" si="18"/>
        <v>507.57631233455885</v>
      </c>
      <c r="M27" s="39">
        <f t="shared" si="19"/>
        <v>110.20237023024487</v>
      </c>
      <c r="N27" s="112">
        <f t="shared" si="20"/>
        <v>617.77868256480372</v>
      </c>
      <c r="P27">
        <f t="shared" si="7"/>
        <v>0</v>
      </c>
      <c r="Q27">
        <f t="shared" si="8"/>
        <v>0</v>
      </c>
      <c r="R27">
        <f t="shared" si="9"/>
        <v>0</v>
      </c>
      <c r="S27">
        <f t="shared" si="10"/>
        <v>0</v>
      </c>
      <c r="T27">
        <f t="shared" si="11"/>
        <v>0</v>
      </c>
    </row>
    <row r="28" spans="1:24" x14ac:dyDescent="0.25">
      <c r="A28" s="4">
        <f t="shared" si="21"/>
        <v>0.98499999999999999</v>
      </c>
      <c r="B28" s="30">
        <f t="shared" si="4"/>
        <v>12211.538461538461</v>
      </c>
      <c r="C28" s="30">
        <f t="shared" si="5"/>
        <v>373.22624999999988</v>
      </c>
      <c r="D28" s="30">
        <f t="shared" si="6"/>
        <v>490.35325417549376</v>
      </c>
      <c r="E28" s="39">
        <f t="shared" si="12"/>
        <v>2442.3076923076924</v>
      </c>
      <c r="F28" s="39">
        <f t="shared" si="13"/>
        <v>610.57692307692309</v>
      </c>
      <c r="G28" s="39">
        <f t="shared" si="14"/>
        <v>196.14130167019752</v>
      </c>
      <c r="H28" s="39">
        <f t="shared" si="15"/>
        <v>835.58946756057185</v>
      </c>
      <c r="I28" s="39">
        <f t="shared" si="16"/>
        <v>275.42957793194506</v>
      </c>
      <c r="J28" s="86">
        <f t="shared" si="3"/>
        <v>0.61180383212595602</v>
      </c>
      <c r="K28" s="86">
        <f t="shared" si="17"/>
        <v>0.38819616787404398</v>
      </c>
      <c r="L28" s="39">
        <f t="shared" si="18"/>
        <v>511.21683833764507</v>
      </c>
      <c r="M28" s="39">
        <f t="shared" si="19"/>
        <v>106.92070667234643</v>
      </c>
      <c r="N28" s="112">
        <f t="shared" si="20"/>
        <v>618.13754500999153</v>
      </c>
      <c r="P28">
        <f t="shared" si="7"/>
        <v>0</v>
      </c>
      <c r="Q28">
        <f t="shared" si="8"/>
        <v>0</v>
      </c>
      <c r="R28">
        <f t="shared" si="9"/>
        <v>0</v>
      </c>
      <c r="S28">
        <f t="shared" si="10"/>
        <v>0</v>
      </c>
      <c r="T28">
        <f t="shared" si="11"/>
        <v>0</v>
      </c>
    </row>
    <row r="29" spans="1:24" x14ac:dyDescent="0.25">
      <c r="A29" s="4">
        <f t="shared" si="21"/>
        <v>0.98</v>
      </c>
      <c r="B29" s="30">
        <f t="shared" si="4"/>
        <v>12115.384615384613</v>
      </c>
      <c r="C29" s="30">
        <f t="shared" si="5"/>
        <v>367.67999999999995</v>
      </c>
      <c r="D29" s="30">
        <f t="shared" si="6"/>
        <v>480.75313807531364</v>
      </c>
      <c r="E29" s="39">
        <f t="shared" si="12"/>
        <v>2423.0769230769229</v>
      </c>
      <c r="F29" s="39">
        <f t="shared" si="13"/>
        <v>605.76923076923072</v>
      </c>
      <c r="G29" s="39">
        <f t="shared" si="14"/>
        <v>192.30125523012546</v>
      </c>
      <c r="H29" s="39">
        <f t="shared" si="15"/>
        <v>825.00643707756672</v>
      </c>
      <c r="I29" s="39">
        <f t="shared" si="16"/>
        <v>275.42957793194506</v>
      </c>
      <c r="J29" s="86">
        <f t="shared" si="3"/>
        <v>0.62402088772845976</v>
      </c>
      <c r="K29" s="86">
        <f t="shared" si="17"/>
        <v>0.37597911227154024</v>
      </c>
      <c r="L29" s="39">
        <f t="shared" si="18"/>
        <v>514.82124924683683</v>
      </c>
      <c r="M29" s="39">
        <f t="shared" si="19"/>
        <v>103.55576820417771</v>
      </c>
      <c r="N29" s="112">
        <f t="shared" si="20"/>
        <v>618.37701745101458</v>
      </c>
      <c r="P29">
        <f t="shared" si="7"/>
        <v>0</v>
      </c>
      <c r="Q29">
        <f t="shared" si="8"/>
        <v>0</v>
      </c>
      <c r="R29">
        <f t="shared" si="9"/>
        <v>0</v>
      </c>
      <c r="S29">
        <f t="shared" si="10"/>
        <v>0</v>
      </c>
      <c r="T29">
        <f t="shared" si="11"/>
        <v>0</v>
      </c>
    </row>
    <row r="30" spans="1:24" x14ac:dyDescent="0.25">
      <c r="A30" s="4">
        <f t="shared" si="21"/>
        <v>0.97499999999999998</v>
      </c>
      <c r="B30" s="30">
        <f t="shared" si="4"/>
        <v>12019.230769230766</v>
      </c>
      <c r="C30" s="30">
        <f t="shared" si="5"/>
        <v>362.15625</v>
      </c>
      <c r="D30" s="30">
        <f t="shared" si="6"/>
        <v>471.28914192761295</v>
      </c>
      <c r="E30" s="39">
        <f t="shared" si="12"/>
        <v>2403.8461538461534</v>
      </c>
      <c r="F30" s="39">
        <f t="shared" si="13"/>
        <v>600.96153846153834</v>
      </c>
      <c r="G30" s="39">
        <f t="shared" si="14"/>
        <v>188.5156567710452</v>
      </c>
      <c r="H30" s="39">
        <f t="shared" si="15"/>
        <v>814.3689586135697</v>
      </c>
      <c r="I30" s="39">
        <f t="shared" si="16"/>
        <v>275.42957793194506</v>
      </c>
      <c r="J30" s="86">
        <f t="shared" si="3"/>
        <v>0.63655190266632133</v>
      </c>
      <c r="K30" s="86">
        <f t="shared" si="17"/>
        <v>0.36344809733367867</v>
      </c>
      <c r="L30" s="39">
        <f t="shared" si="18"/>
        <v>518.38811007785853</v>
      </c>
      <c r="M30" s="39">
        <f t="shared" si="19"/>
        <v>100.1043560487836</v>
      </c>
      <c r="N30" s="112">
        <f t="shared" si="20"/>
        <v>618.49246612664217</v>
      </c>
      <c r="P30">
        <f t="shared" si="7"/>
        <v>471.28914192761295</v>
      </c>
      <c r="Q30">
        <f t="shared" si="8"/>
        <v>0.97499999999999998</v>
      </c>
      <c r="R30">
        <f t="shared" si="9"/>
        <v>0.63655190266632133</v>
      </c>
      <c r="S30">
        <f t="shared" si="10"/>
        <v>0</v>
      </c>
      <c r="T30">
        <f t="shared" si="11"/>
        <v>0</v>
      </c>
    </row>
    <row r="31" spans="1:24" x14ac:dyDescent="0.25">
      <c r="A31" s="4">
        <f t="shared" si="21"/>
        <v>0.97</v>
      </c>
      <c r="B31" s="30">
        <f t="shared" si="4"/>
        <v>11923.07692307692</v>
      </c>
      <c r="C31" s="30">
        <f t="shared" si="5"/>
        <v>356.65500000000003</v>
      </c>
      <c r="D31" s="30">
        <f t="shared" si="6"/>
        <v>461.95842238197019</v>
      </c>
      <c r="E31" s="39">
        <f t="shared" si="12"/>
        <v>2384.6153846153843</v>
      </c>
      <c r="F31" s="39">
        <f t="shared" si="13"/>
        <v>596.15384615384608</v>
      </c>
      <c r="G31" s="39">
        <f t="shared" si="14"/>
        <v>184.78336895278809</v>
      </c>
      <c r="H31" s="39">
        <f t="shared" si="15"/>
        <v>803.67816950874999</v>
      </c>
      <c r="I31" s="39">
        <f t="shared" si="16"/>
        <v>275.42957793194506</v>
      </c>
      <c r="J31" s="86">
        <f t="shared" si="3"/>
        <v>0.64940909282079307</v>
      </c>
      <c r="K31" s="86">
        <f t="shared" si="17"/>
        <v>0.35059090717920693</v>
      </c>
      <c r="L31" s="39">
        <f t="shared" si="18"/>
        <v>521.91591098055289</v>
      </c>
      <c r="M31" s="39">
        <f t="shared" si="19"/>
        <v>96.563105591146694</v>
      </c>
      <c r="N31" s="112">
        <f t="shared" si="20"/>
        <v>618.47901657169962</v>
      </c>
      <c r="P31">
        <f t="shared" si="7"/>
        <v>0</v>
      </c>
      <c r="Q31">
        <f t="shared" si="8"/>
        <v>0</v>
      </c>
      <c r="R31">
        <f t="shared" si="9"/>
        <v>0</v>
      </c>
      <c r="S31">
        <f t="shared" si="10"/>
        <v>0</v>
      </c>
      <c r="T31">
        <f t="shared" si="11"/>
        <v>0</v>
      </c>
    </row>
    <row r="32" spans="1:24" x14ac:dyDescent="0.25">
      <c r="A32" s="4">
        <f t="shared" si="21"/>
        <v>0.96499999999999997</v>
      </c>
      <c r="B32" s="30">
        <f t="shared" si="4"/>
        <v>11826.923076923074</v>
      </c>
      <c r="C32" s="30">
        <f t="shared" si="5"/>
        <v>351.17624999999992</v>
      </c>
      <c r="D32" s="30">
        <f t="shared" si="6"/>
        <v>452.75821501667974</v>
      </c>
      <c r="E32" s="39">
        <f t="shared" si="12"/>
        <v>2365.3846153846148</v>
      </c>
      <c r="F32" s="39">
        <f t="shared" si="13"/>
        <v>591.3461538461537</v>
      </c>
      <c r="G32" s="39">
        <f t="shared" si="14"/>
        <v>181.10328600667191</v>
      </c>
      <c r="H32" s="39">
        <f t="shared" si="15"/>
        <v>792.93517553178913</v>
      </c>
      <c r="I32" s="39">
        <f t="shared" si="16"/>
        <v>275.42957793194506</v>
      </c>
      <c r="J32" s="86">
        <f t="shared" si="3"/>
        <v>0.66260531570685677</v>
      </c>
      <c r="K32" s="86">
        <f t="shared" si="17"/>
        <v>0.33739468429314323</v>
      </c>
      <c r="L32" s="39">
        <f t="shared" si="18"/>
        <v>525.403062318313</v>
      </c>
      <c r="M32" s="39">
        <f t="shared" si="19"/>
        <v>92.928475491342297</v>
      </c>
      <c r="N32" s="112">
        <f t="shared" si="20"/>
        <v>618.33153780965529</v>
      </c>
      <c r="P32">
        <f t="shared" si="7"/>
        <v>0</v>
      </c>
      <c r="Q32">
        <f t="shared" si="8"/>
        <v>0</v>
      </c>
      <c r="R32">
        <f t="shared" si="9"/>
        <v>0</v>
      </c>
      <c r="S32">
        <f t="shared" si="10"/>
        <v>0</v>
      </c>
      <c r="T32">
        <f t="shared" si="11"/>
        <v>0</v>
      </c>
    </row>
    <row r="33" spans="1:20" x14ac:dyDescent="0.25">
      <c r="A33" s="4">
        <f t="shared" si="21"/>
        <v>0.96</v>
      </c>
      <c r="B33" s="30">
        <f t="shared" si="4"/>
        <v>11730.769230769229</v>
      </c>
      <c r="C33" s="30">
        <f t="shared" si="5"/>
        <v>345.71999999999997</v>
      </c>
      <c r="D33" s="30">
        <f t="shared" si="6"/>
        <v>443.68583162217658</v>
      </c>
      <c r="E33" s="39">
        <f t="shared" si="12"/>
        <v>2346.1538461538457</v>
      </c>
      <c r="F33" s="39">
        <f t="shared" si="13"/>
        <v>586.53846153846143</v>
      </c>
      <c r="G33" s="39">
        <f t="shared" si="14"/>
        <v>177.47433264887064</v>
      </c>
      <c r="H33" s="39">
        <f t="shared" si="15"/>
        <v>782.14105196651371</v>
      </c>
      <c r="I33" s="39">
        <f t="shared" si="16"/>
        <v>275.42957793194506</v>
      </c>
      <c r="J33" s="86">
        <f t="shared" si="3"/>
        <v>0.6761541131551545</v>
      </c>
      <c r="K33" s="86">
        <f t="shared" si="17"/>
        <v>0.3238458868448455</v>
      </c>
      <c r="L33" s="39">
        <f t="shared" si="18"/>
        <v>528.8478893546577</v>
      </c>
      <c r="M33" s="39">
        <f t="shared" si="19"/>
        <v>89.19673592867224</v>
      </c>
      <c r="N33" s="112">
        <f t="shared" si="20"/>
        <v>618.04462528332988</v>
      </c>
      <c r="P33">
        <f t="shared" si="7"/>
        <v>0</v>
      </c>
      <c r="Q33">
        <f t="shared" si="8"/>
        <v>0</v>
      </c>
      <c r="R33">
        <f t="shared" si="9"/>
        <v>0</v>
      </c>
      <c r="S33">
        <f t="shared" si="10"/>
        <v>0</v>
      </c>
      <c r="T33">
        <f t="shared" si="11"/>
        <v>0</v>
      </c>
    </row>
    <row r="34" spans="1:20" x14ac:dyDescent="0.25">
      <c r="A34" s="4">
        <f t="shared" si="21"/>
        <v>0.95499999999999996</v>
      </c>
      <c r="B34" s="30">
        <f t="shared" si="4"/>
        <v>11634.615384615383</v>
      </c>
      <c r="C34" s="30">
        <f t="shared" si="5"/>
        <v>340.28625</v>
      </c>
      <c r="D34" s="30">
        <f t="shared" si="6"/>
        <v>434.7386575959373</v>
      </c>
      <c r="E34" s="39">
        <f t="shared" si="12"/>
        <v>2326.9230769230767</v>
      </c>
      <c r="F34" s="39">
        <f t="shared" si="13"/>
        <v>581.73076923076917</v>
      </c>
      <c r="G34" s="39">
        <f t="shared" si="14"/>
        <v>173.89546303837494</v>
      </c>
      <c r="H34" s="39">
        <f t="shared" si="15"/>
        <v>771.29684465393257</v>
      </c>
      <c r="I34" s="39">
        <f t="shared" si="16"/>
        <v>275.42957793194506</v>
      </c>
      <c r="J34" s="86">
        <f t="shared" si="3"/>
        <v>0.6900697574468555</v>
      </c>
      <c r="K34" s="86">
        <f t="shared" si="17"/>
        <v>0.3099302425531445</v>
      </c>
      <c r="L34" s="39">
        <f t="shared" si="18"/>
        <v>532.24862650986427</v>
      </c>
      <c r="M34" s="39">
        <f t="shared" si="19"/>
        <v>85.36395589475795</v>
      </c>
      <c r="N34" s="112">
        <f t="shared" si="20"/>
        <v>617.61258240462223</v>
      </c>
      <c r="P34">
        <f t="shared" si="7"/>
        <v>0</v>
      </c>
      <c r="Q34">
        <f t="shared" si="8"/>
        <v>0</v>
      </c>
      <c r="R34">
        <f t="shared" si="9"/>
        <v>0</v>
      </c>
      <c r="S34">
        <f t="shared" si="10"/>
        <v>0</v>
      </c>
      <c r="T34">
        <f t="shared" si="11"/>
        <v>0</v>
      </c>
    </row>
    <row r="35" spans="1:20" x14ac:dyDescent="0.25">
      <c r="A35" s="4">
        <f t="shared" si="21"/>
        <v>0.95</v>
      </c>
      <c r="B35" s="30">
        <f t="shared" si="4"/>
        <v>11538.461538461535</v>
      </c>
      <c r="C35" s="30">
        <f t="shared" si="5"/>
        <v>334.87500000000006</v>
      </c>
      <c r="D35" s="30">
        <f t="shared" si="6"/>
        <v>425.9141494435612</v>
      </c>
      <c r="E35" s="39">
        <f t="shared" si="12"/>
        <v>2307.6923076923072</v>
      </c>
      <c r="F35" s="39">
        <f t="shared" si="13"/>
        <v>576.92307692307679</v>
      </c>
      <c r="G35" s="39">
        <f t="shared" si="14"/>
        <v>170.3656597774245</v>
      </c>
      <c r="H35" s="39">
        <f t="shared" si="15"/>
        <v>760.40357099180596</v>
      </c>
      <c r="I35" s="39">
        <f t="shared" si="16"/>
        <v>275.42957793194506</v>
      </c>
      <c r="J35" s="86">
        <f t="shared" si="3"/>
        <v>0.70436730123180291</v>
      </c>
      <c r="K35" s="86">
        <f t="shared" si="17"/>
        <v>0.29563269876819709</v>
      </c>
      <c r="L35" s="39">
        <f t="shared" si="18"/>
        <v>535.60341114652397</v>
      </c>
      <c r="M35" s="39">
        <f t="shared" si="19"/>
        <v>81.425989444606373</v>
      </c>
      <c r="N35" s="112">
        <f t="shared" si="20"/>
        <v>617.0294005911303</v>
      </c>
      <c r="P35">
        <f t="shared" si="7"/>
        <v>0</v>
      </c>
      <c r="Q35">
        <f t="shared" si="8"/>
        <v>0</v>
      </c>
      <c r="R35">
        <f t="shared" si="9"/>
        <v>0</v>
      </c>
      <c r="S35">
        <f t="shared" si="10"/>
        <v>0</v>
      </c>
      <c r="T35">
        <f t="shared" si="11"/>
        <v>0</v>
      </c>
    </row>
    <row r="36" spans="1:20" x14ac:dyDescent="0.25">
      <c r="A36" s="4">
        <f t="shared" si="21"/>
        <v>0.94499999999999995</v>
      </c>
      <c r="B36" s="30">
        <f t="shared" si="4"/>
        <v>11442.30769230769</v>
      </c>
      <c r="C36" s="30">
        <f t="shared" si="5"/>
        <v>329.48624999999993</v>
      </c>
      <c r="D36" s="30">
        <f t="shared" si="6"/>
        <v>417.20983238101252</v>
      </c>
      <c r="E36" s="39">
        <f t="shared" si="12"/>
        <v>2288.4615384615381</v>
      </c>
      <c r="F36" s="39">
        <f t="shared" si="13"/>
        <v>572.11538461538453</v>
      </c>
      <c r="G36" s="39">
        <f t="shared" si="14"/>
        <v>166.88393295240502</v>
      </c>
      <c r="H36" s="39">
        <f t="shared" si="15"/>
        <v>749.46222089374851</v>
      </c>
      <c r="I36" s="39">
        <f t="shared" si="16"/>
        <v>275.42957793194506</v>
      </c>
      <c r="J36" s="86">
        <f t="shared" si="3"/>
        <v>0.71906263159691819</v>
      </c>
      <c r="K36" s="86">
        <f t="shared" si="17"/>
        <v>0.28093736840308181</v>
      </c>
      <c r="L36" s="39">
        <f t="shared" si="18"/>
        <v>538.91027683832965</v>
      </c>
      <c r="M36" s="39">
        <f t="shared" si="19"/>
        <v>77.378460804572185</v>
      </c>
      <c r="N36" s="112">
        <f t="shared" si="20"/>
        <v>616.28873764290188</v>
      </c>
      <c r="P36">
        <f t="shared" si="7"/>
        <v>0</v>
      </c>
      <c r="Q36">
        <f t="shared" si="8"/>
        <v>0</v>
      </c>
      <c r="R36">
        <f t="shared" si="9"/>
        <v>0</v>
      </c>
      <c r="S36">
        <f t="shared" si="10"/>
        <v>0</v>
      </c>
      <c r="T36">
        <f t="shared" si="11"/>
        <v>0</v>
      </c>
    </row>
    <row r="37" spans="1:20" x14ac:dyDescent="0.25">
      <c r="A37" s="4">
        <f t="shared" si="21"/>
        <v>0.94</v>
      </c>
      <c r="B37" s="30">
        <f t="shared" si="4"/>
        <v>11346.153846153844</v>
      </c>
      <c r="C37" s="30">
        <f t="shared" si="5"/>
        <v>324.11999999999989</v>
      </c>
      <c r="D37" s="30">
        <f t="shared" si="6"/>
        <v>408.62329803328282</v>
      </c>
      <c r="E37" s="39">
        <f t="shared" si="12"/>
        <v>2269.2307692307691</v>
      </c>
      <c r="F37" s="39">
        <f t="shared" si="13"/>
        <v>567.30769230769226</v>
      </c>
      <c r="G37" s="39">
        <f t="shared" si="14"/>
        <v>163.44931921331315</v>
      </c>
      <c r="H37" s="39">
        <f t="shared" si="15"/>
        <v>738.4737577097635</v>
      </c>
      <c r="I37" s="39">
        <f t="shared" si="16"/>
        <v>275.42957793194506</v>
      </c>
      <c r="J37" s="86">
        <f t="shared" si="3"/>
        <v>0.73417252869307681</v>
      </c>
      <c r="K37" s="86">
        <f t="shared" si="17"/>
        <v>0.26582747130692319</v>
      </c>
      <c r="L37" s="39">
        <f t="shared" si="18"/>
        <v>542.16714607125562</v>
      </c>
      <c r="M37" s="39">
        <f t="shared" si="19"/>
        <v>73.216748224782094</v>
      </c>
      <c r="N37" s="112">
        <f t="shared" si="20"/>
        <v>615.38389429603774</v>
      </c>
      <c r="P37">
        <f t="shared" si="7"/>
        <v>0</v>
      </c>
      <c r="Q37">
        <f t="shared" si="8"/>
        <v>0</v>
      </c>
      <c r="R37">
        <f t="shared" si="9"/>
        <v>0</v>
      </c>
      <c r="S37">
        <f t="shared" si="10"/>
        <v>0</v>
      </c>
      <c r="T37">
        <f t="shared" si="11"/>
        <v>0</v>
      </c>
    </row>
    <row r="38" spans="1:20" x14ac:dyDescent="0.25">
      <c r="A38" s="4">
        <f t="shared" si="21"/>
        <v>0.93499999999999994</v>
      </c>
      <c r="B38" s="30">
        <f t="shared" si="4"/>
        <v>11249.999999999998</v>
      </c>
      <c r="C38" s="30">
        <f t="shared" si="5"/>
        <v>318.77624999999995</v>
      </c>
      <c r="D38" s="30">
        <f t="shared" si="6"/>
        <v>400.15220222497686</v>
      </c>
      <c r="E38" s="39">
        <f t="shared" si="12"/>
        <v>2249.9999999999995</v>
      </c>
      <c r="F38" s="39">
        <f t="shared" si="13"/>
        <v>562.49999999999989</v>
      </c>
      <c r="G38" s="39">
        <f t="shared" si="14"/>
        <v>160.06088088999076</v>
      </c>
      <c r="H38" s="39">
        <f t="shared" si="15"/>
        <v>727.43911911000873</v>
      </c>
      <c r="I38" s="39">
        <f t="shared" si="16"/>
        <v>275.42957793194506</v>
      </c>
      <c r="J38" s="86">
        <f t="shared" si="3"/>
        <v>0.74971472937522787</v>
      </c>
      <c r="K38" s="86">
        <f t="shared" si="17"/>
        <v>0.25028527062477213</v>
      </c>
      <c r="L38" s="39">
        <f t="shared" si="18"/>
        <v>545.3718223205143</v>
      </c>
      <c r="M38" s="39">
        <f t="shared" si="19"/>
        <v>68.93596645076363</v>
      </c>
      <c r="N38" s="112">
        <f t="shared" si="20"/>
        <v>614.30778877127796</v>
      </c>
      <c r="P38">
        <f t="shared" si="7"/>
        <v>0</v>
      </c>
      <c r="Q38">
        <f t="shared" si="8"/>
        <v>0</v>
      </c>
      <c r="R38">
        <f t="shared" si="9"/>
        <v>0</v>
      </c>
      <c r="S38">
        <f t="shared" si="10"/>
        <v>0</v>
      </c>
      <c r="T38">
        <f t="shared" si="11"/>
        <v>0</v>
      </c>
    </row>
    <row r="39" spans="1:20" x14ac:dyDescent="0.25">
      <c r="A39" s="4">
        <f t="shared" si="21"/>
        <v>0.92999999999999994</v>
      </c>
      <c r="B39" s="30">
        <f t="shared" si="4"/>
        <v>11153.846153846152</v>
      </c>
      <c r="C39" s="30">
        <f t="shared" si="5"/>
        <v>313.45499999999998</v>
      </c>
      <c r="D39" s="30">
        <f t="shared" si="6"/>
        <v>391.79426285857136</v>
      </c>
      <c r="E39" s="39">
        <f t="shared" si="12"/>
        <v>2230.7692307692305</v>
      </c>
      <c r="F39" s="39">
        <f t="shared" si="13"/>
        <v>557.69230769230762</v>
      </c>
      <c r="G39" s="39">
        <f t="shared" si="14"/>
        <v>156.71770514342856</v>
      </c>
      <c r="H39" s="39">
        <f t="shared" si="15"/>
        <v>716.35921793349439</v>
      </c>
      <c r="I39" s="39">
        <f t="shared" si="16"/>
        <v>275.42957793194506</v>
      </c>
      <c r="J39" s="86">
        <f t="shared" si="3"/>
        <v>0.76570799636311426</v>
      </c>
      <c r="K39" s="86">
        <f t="shared" si="17"/>
        <v>0.23429200363688574</v>
      </c>
      <c r="L39" s="39">
        <f t="shared" si="18"/>
        <v>548.52198144010345</v>
      </c>
      <c r="M39" s="39">
        <f t="shared" si="19"/>
        <v>64.530947674537174</v>
      </c>
      <c r="N39" s="112">
        <f t="shared" si="20"/>
        <v>613.05292911464062</v>
      </c>
      <c r="P39">
        <f t="shared" si="7"/>
        <v>0</v>
      </c>
      <c r="Q39">
        <f t="shared" si="8"/>
        <v>0</v>
      </c>
      <c r="R39">
        <f t="shared" si="9"/>
        <v>0</v>
      </c>
      <c r="S39">
        <f t="shared" si="10"/>
        <v>0</v>
      </c>
      <c r="T39">
        <f t="shared" si="11"/>
        <v>0</v>
      </c>
    </row>
    <row r="40" spans="1:20" x14ac:dyDescent="0.25">
      <c r="A40" s="4">
        <f t="shared" si="21"/>
        <v>0.92499999999999993</v>
      </c>
      <c r="B40" s="30">
        <f t="shared" si="4"/>
        <v>11057.692307692307</v>
      </c>
      <c r="C40" s="30">
        <f t="shared" si="5"/>
        <v>308.15625</v>
      </c>
      <c r="D40" s="30">
        <f t="shared" si="6"/>
        <v>383.5472578763127</v>
      </c>
      <c r="E40" s="39">
        <f t="shared" si="12"/>
        <v>2211.5384615384614</v>
      </c>
      <c r="F40" s="39">
        <f t="shared" si="13"/>
        <v>552.88461538461536</v>
      </c>
      <c r="G40" s="39">
        <f t="shared" si="14"/>
        <v>153.4189031505251</v>
      </c>
      <c r="H40" s="39">
        <f t="shared" si="15"/>
        <v>705.23494300332118</v>
      </c>
      <c r="I40" s="39">
        <f t="shared" si="16"/>
        <v>275.42957793194506</v>
      </c>
      <c r="J40" s="86">
        <f t="shared" si="3"/>
        <v>0.78217219348950418</v>
      </c>
      <c r="K40" s="86">
        <f t="shared" si="17"/>
        <v>0.21782780651049582</v>
      </c>
      <c r="L40" s="39">
        <f t="shared" si="18"/>
        <v>551.61516229435313</v>
      </c>
      <c r="M40" s="39">
        <f t="shared" si="19"/>
        <v>59.996220809027257</v>
      </c>
      <c r="N40" s="112">
        <f t="shared" si="20"/>
        <v>611.61138310338038</v>
      </c>
      <c r="P40">
        <f t="shared" si="7"/>
        <v>0</v>
      </c>
      <c r="Q40">
        <f t="shared" si="8"/>
        <v>0</v>
      </c>
      <c r="R40">
        <f t="shared" si="9"/>
        <v>0</v>
      </c>
      <c r="S40">
        <f t="shared" si="10"/>
        <v>0</v>
      </c>
      <c r="T40">
        <f t="shared" si="11"/>
        <v>0</v>
      </c>
    </row>
    <row r="41" spans="1:20" x14ac:dyDescent="0.25">
      <c r="A41" s="4">
        <f t="shared" si="21"/>
        <v>0.91999999999999993</v>
      </c>
      <c r="B41" s="30">
        <f t="shared" si="4"/>
        <v>10961.538461538459</v>
      </c>
      <c r="C41" s="30">
        <f t="shared" si="5"/>
        <v>302.87999999999982</v>
      </c>
      <c r="D41" s="30">
        <f t="shared" si="6"/>
        <v>375.4090233019333</v>
      </c>
      <c r="E41" s="39">
        <f t="shared" si="12"/>
        <v>2192.3076923076919</v>
      </c>
      <c r="F41" s="39">
        <f t="shared" si="13"/>
        <v>548.07692307692298</v>
      </c>
      <c r="G41" s="39">
        <f t="shared" si="14"/>
        <v>150.16360932077333</v>
      </c>
      <c r="H41" s="39">
        <f t="shared" si="15"/>
        <v>694.06715990999578</v>
      </c>
      <c r="I41" s="39">
        <f t="shared" si="16"/>
        <v>275.42957793194506</v>
      </c>
      <c r="J41" s="86">
        <f t="shared" si="3"/>
        <v>0.7991283676703651</v>
      </c>
      <c r="K41" s="86">
        <f t="shared" si="17"/>
        <v>0.2008716323296349</v>
      </c>
      <c r="L41" s="39">
        <f t="shared" si="18"/>
        <v>554.64875655248125</v>
      </c>
      <c r="M41" s="39">
        <f t="shared" si="19"/>
        <v>55.325988911052193</v>
      </c>
      <c r="N41" s="112">
        <f t="shared" si="20"/>
        <v>609.9747454635334</v>
      </c>
      <c r="P41">
        <f t="shared" si="7"/>
        <v>0</v>
      </c>
      <c r="Q41">
        <f t="shared" si="8"/>
        <v>0</v>
      </c>
      <c r="R41">
        <f t="shared" si="9"/>
        <v>0</v>
      </c>
      <c r="S41">
        <f t="shared" si="10"/>
        <v>0</v>
      </c>
      <c r="T41">
        <f t="shared" si="11"/>
        <v>0</v>
      </c>
    </row>
    <row r="42" spans="1:20" x14ac:dyDescent="0.25">
      <c r="A42" s="4">
        <f t="shared" si="21"/>
        <v>0.91499999999999992</v>
      </c>
      <c r="B42" s="30">
        <f t="shared" si="4"/>
        <v>10865.384615384612</v>
      </c>
      <c r="C42" s="30">
        <f t="shared" si="5"/>
        <v>297.62624999999986</v>
      </c>
      <c r="D42" s="30">
        <f t="shared" si="6"/>
        <v>367.37745135856545</v>
      </c>
      <c r="E42" s="39">
        <f t="shared" si="12"/>
        <v>2173.0769230769224</v>
      </c>
      <c r="F42" s="39">
        <f t="shared" si="13"/>
        <v>543.2692307692306</v>
      </c>
      <c r="G42" s="39">
        <f t="shared" si="14"/>
        <v>146.9509805434262</v>
      </c>
      <c r="H42" s="39">
        <f t="shared" si="15"/>
        <v>682.85671176426581</v>
      </c>
      <c r="I42" s="39">
        <f t="shared" si="16"/>
        <v>275.42957793194506</v>
      </c>
      <c r="J42" s="86">
        <f t="shared" si="3"/>
        <v>0.81659883830811342</v>
      </c>
      <c r="K42" s="86">
        <f t="shared" si="17"/>
        <v>0.18340116169188658</v>
      </c>
      <c r="L42" s="39">
        <f t="shared" si="18"/>
        <v>557.61999755759769</v>
      </c>
      <c r="M42" s="39">
        <f t="shared" si="19"/>
        <v>50.51410455702473</v>
      </c>
      <c r="N42" s="112">
        <f t="shared" si="20"/>
        <v>608.13410211462246</v>
      </c>
      <c r="P42">
        <f t="shared" si="7"/>
        <v>0</v>
      </c>
      <c r="Q42">
        <f t="shared" si="8"/>
        <v>0</v>
      </c>
      <c r="R42">
        <f t="shared" si="9"/>
        <v>0</v>
      </c>
      <c r="S42">
        <f t="shared" si="10"/>
        <v>0</v>
      </c>
      <c r="T42">
        <f t="shared" si="11"/>
        <v>0</v>
      </c>
    </row>
    <row r="43" spans="1:20" x14ac:dyDescent="0.25">
      <c r="A43" s="4">
        <f t="shared" si="21"/>
        <v>0.90999999999999992</v>
      </c>
      <c r="B43" s="30">
        <f t="shared" si="4"/>
        <v>10769.230769230766</v>
      </c>
      <c r="C43" s="30">
        <f t="shared" si="5"/>
        <v>292.39499999999992</v>
      </c>
      <c r="D43" s="30">
        <f t="shared" si="6"/>
        <v>359.45048865941345</v>
      </c>
      <c r="E43" s="39">
        <f t="shared" si="12"/>
        <v>2153.8461538461534</v>
      </c>
      <c r="F43" s="39">
        <f t="shared" si="13"/>
        <v>538.46153846153834</v>
      </c>
      <c r="G43" s="39">
        <f t="shared" si="14"/>
        <v>143.78019546376538</v>
      </c>
      <c r="H43" s="39">
        <f t="shared" si="15"/>
        <v>671.60441992084952</v>
      </c>
      <c r="I43" s="39">
        <f t="shared" si="16"/>
        <v>275.42957793194506</v>
      </c>
      <c r="J43" s="86">
        <f t="shared" si="3"/>
        <v>0.83460729492638419</v>
      </c>
      <c r="K43" s="86">
        <f t="shared" si="17"/>
        <v>0.16539270507361581</v>
      </c>
      <c r="L43" s="39">
        <f t="shared" si="18"/>
        <v>560.52594817074362</v>
      </c>
      <c r="M43" s="39">
        <f t="shared" si="19"/>
        <v>45.554042951448672</v>
      </c>
      <c r="N43" s="112">
        <f t="shared" si="20"/>
        <v>606.07999112219227</v>
      </c>
      <c r="P43">
        <f t="shared" si="7"/>
        <v>0</v>
      </c>
      <c r="Q43">
        <f t="shared" si="8"/>
        <v>0</v>
      </c>
      <c r="R43">
        <f t="shared" si="9"/>
        <v>0</v>
      </c>
      <c r="S43">
        <f t="shared" si="10"/>
        <v>0</v>
      </c>
      <c r="T43">
        <f t="shared" si="11"/>
        <v>0</v>
      </c>
    </row>
    <row r="44" spans="1:20" x14ac:dyDescent="0.25">
      <c r="A44" s="4">
        <f t="shared" si="21"/>
        <v>0.90499999999999992</v>
      </c>
      <c r="B44" s="30">
        <f t="shared" si="4"/>
        <v>10673.07692307692</v>
      </c>
      <c r="C44" s="30">
        <f t="shared" si="5"/>
        <v>287.18624999999992</v>
      </c>
      <c r="D44" s="30">
        <f t="shared" si="6"/>
        <v>351.62613446792864</v>
      </c>
      <c r="E44" s="39">
        <f t="shared" si="12"/>
        <v>2134.6153846153843</v>
      </c>
      <c r="F44" s="39">
        <f t="shared" si="13"/>
        <v>533.65384615384608</v>
      </c>
      <c r="G44" s="39">
        <f t="shared" si="14"/>
        <v>140.65045378717147</v>
      </c>
      <c r="H44" s="39">
        <f t="shared" si="15"/>
        <v>660.31108467436661</v>
      </c>
      <c r="I44" s="39">
        <f t="shared" si="16"/>
        <v>275.42957793194506</v>
      </c>
      <c r="J44" s="86">
        <f t="shared" si="3"/>
        <v>0.85317890393429396</v>
      </c>
      <c r="K44" s="86">
        <f t="shared" si="17"/>
        <v>0.14682109606570604</v>
      </c>
      <c r="L44" s="39">
        <f t="shared" si="18"/>
        <v>563.36348747814088</v>
      </c>
      <c r="M44" s="39">
        <f t="shared" si="19"/>
        <v>40.438872520882974</v>
      </c>
      <c r="N44" s="112">
        <f t="shared" si="20"/>
        <v>603.80235999902391</v>
      </c>
      <c r="P44">
        <f t="shared" si="7"/>
        <v>0</v>
      </c>
      <c r="Q44">
        <f t="shared" si="8"/>
        <v>0</v>
      </c>
      <c r="R44">
        <f t="shared" si="9"/>
        <v>0</v>
      </c>
      <c r="S44">
        <f t="shared" si="10"/>
        <v>0</v>
      </c>
      <c r="T44">
        <f t="shared" si="11"/>
        <v>0</v>
      </c>
    </row>
    <row r="45" spans="1:20" x14ac:dyDescent="0.25">
      <c r="A45" s="4">
        <f t="shared" si="21"/>
        <v>0.89999999999999991</v>
      </c>
      <c r="B45" s="30">
        <f t="shared" si="4"/>
        <v>10576.923076923074</v>
      </c>
      <c r="C45" s="30">
        <f t="shared" si="5"/>
        <v>282</v>
      </c>
      <c r="D45" s="30">
        <f t="shared" si="6"/>
        <v>343.90243902439016</v>
      </c>
      <c r="E45" s="39">
        <f t="shared" si="12"/>
        <v>2115.3846153846148</v>
      </c>
      <c r="F45" s="39">
        <f t="shared" si="13"/>
        <v>528.8461538461537</v>
      </c>
      <c r="G45" s="39">
        <f t="shared" si="14"/>
        <v>137.56097560975607</v>
      </c>
      <c r="H45" s="39">
        <f t="shared" si="15"/>
        <v>648.97748592870494</v>
      </c>
      <c r="I45" s="39">
        <f t="shared" si="16"/>
        <v>275.42957793194506</v>
      </c>
      <c r="J45" s="86">
        <f t="shared" si="3"/>
        <v>0.87234042553191515</v>
      </c>
      <c r="K45" s="86">
        <f t="shared" si="17"/>
        <v>0.12765957446808485</v>
      </c>
      <c r="L45" s="39">
        <f t="shared" si="18"/>
        <v>566.12929623567891</v>
      </c>
      <c r="M45" s="39">
        <f t="shared" si="19"/>
        <v>35.161222714716317</v>
      </c>
      <c r="N45" s="112">
        <f t="shared" si="20"/>
        <v>601.29051895039527</v>
      </c>
      <c r="P45">
        <f t="shared" si="7"/>
        <v>0</v>
      </c>
      <c r="Q45">
        <f t="shared" si="8"/>
        <v>0</v>
      </c>
      <c r="R45">
        <f t="shared" si="9"/>
        <v>0</v>
      </c>
      <c r="S45">
        <f t="shared" si="10"/>
        <v>0</v>
      </c>
      <c r="T45">
        <f t="shared" si="11"/>
        <v>0</v>
      </c>
    </row>
    <row r="46" spans="1:20" x14ac:dyDescent="0.25">
      <c r="A46" s="4">
        <f t="shared" si="21"/>
        <v>0.89499999999999991</v>
      </c>
      <c r="B46" s="30">
        <f t="shared" si="4"/>
        <v>10480.769230769229</v>
      </c>
      <c r="C46" s="30">
        <f t="shared" si="5"/>
        <v>276.83624999999989</v>
      </c>
      <c r="D46" s="30">
        <f t="shared" si="6"/>
        <v>336.27750193595398</v>
      </c>
      <c r="E46" s="39">
        <f t="shared" si="12"/>
        <v>2096.1538461538457</v>
      </c>
      <c r="F46" s="39">
        <f t="shared" si="13"/>
        <v>524.03846153846143</v>
      </c>
      <c r="G46" s="39">
        <f t="shared" si="14"/>
        <v>134.51100077438159</v>
      </c>
      <c r="H46" s="39">
        <f t="shared" si="15"/>
        <v>637.6043838410028</v>
      </c>
      <c r="I46" s="39">
        <f t="shared" si="16"/>
        <v>275.42957793194506</v>
      </c>
      <c r="J46" s="86">
        <f t="shared" si="3"/>
        <v>0.89212034189886646</v>
      </c>
      <c r="K46" s="86">
        <f t="shared" si="17"/>
        <v>0.10787965810113354</v>
      </c>
      <c r="L46" s="39">
        <f t="shared" si="18"/>
        <v>568.81984090845151</v>
      </c>
      <c r="M46" s="39">
        <f t="shared" si="19"/>
        <v>29.713248698237749</v>
      </c>
      <c r="N46" s="112">
        <f t="shared" si="20"/>
        <v>598.53308960668926</v>
      </c>
      <c r="P46">
        <f t="shared" si="7"/>
        <v>0</v>
      </c>
      <c r="Q46">
        <f t="shared" si="8"/>
        <v>0</v>
      </c>
      <c r="R46">
        <f t="shared" si="9"/>
        <v>0</v>
      </c>
      <c r="S46">
        <f t="shared" si="10"/>
        <v>0</v>
      </c>
      <c r="T46">
        <f t="shared" si="11"/>
        <v>0</v>
      </c>
    </row>
    <row r="47" spans="1:20" x14ac:dyDescent="0.25">
      <c r="A47" s="4">
        <f t="shared" si="21"/>
        <v>0.8899999999999999</v>
      </c>
      <c r="B47" s="30">
        <f t="shared" si="4"/>
        <v>10384.615384615383</v>
      </c>
      <c r="C47" s="30">
        <f t="shared" si="5"/>
        <v>271.69499999999982</v>
      </c>
      <c r="D47" s="30">
        <f t="shared" si="6"/>
        <v>328.74947062738198</v>
      </c>
      <c r="E47" s="39">
        <f t="shared" si="12"/>
        <v>2076.9230769230767</v>
      </c>
      <c r="F47" s="39">
        <f t="shared" si="13"/>
        <v>519.23076923076917</v>
      </c>
      <c r="G47" s="39">
        <f t="shared" si="14"/>
        <v>131.4997882509528</v>
      </c>
      <c r="H47" s="39">
        <f t="shared" si="15"/>
        <v>626.19251944135476</v>
      </c>
      <c r="I47" s="39">
        <f t="shared" si="16"/>
        <v>275.42957793194506</v>
      </c>
      <c r="J47" s="86">
        <f t="shared" si="3"/>
        <v>0.91254899795726885</v>
      </c>
      <c r="K47" s="86">
        <f t="shared" si="17"/>
        <v>8.7451002042731152E-2</v>
      </c>
      <c r="L47" s="39">
        <f t="shared" si="18"/>
        <v>571.43135614454593</v>
      </c>
      <c r="M47" s="39">
        <f t="shared" si="19"/>
        <v>24.086592582355106</v>
      </c>
      <c r="N47" s="112">
        <f t="shared" si="20"/>
        <v>595.51794872690107</v>
      </c>
      <c r="P47">
        <f t="shared" si="7"/>
        <v>0</v>
      </c>
      <c r="Q47">
        <f t="shared" si="8"/>
        <v>0</v>
      </c>
      <c r="R47">
        <f t="shared" si="9"/>
        <v>0</v>
      </c>
      <c r="S47">
        <f t="shared" si="10"/>
        <v>0</v>
      </c>
      <c r="T47">
        <f t="shared" si="11"/>
        <v>0</v>
      </c>
    </row>
    <row r="48" spans="1:20" x14ac:dyDescent="0.25">
      <c r="A48" s="4">
        <f t="shared" si="21"/>
        <v>0.8849999999999999</v>
      </c>
      <c r="B48" s="30">
        <f t="shared" si="4"/>
        <v>10288.461538461537</v>
      </c>
      <c r="C48" s="30">
        <f t="shared" si="5"/>
        <v>266.57625000000002</v>
      </c>
      <c r="D48" s="30">
        <f t="shared" si="6"/>
        <v>321.31653884979886</v>
      </c>
      <c r="E48" s="39">
        <f t="shared" si="12"/>
        <v>2057.6923076923076</v>
      </c>
      <c r="F48" s="39">
        <f t="shared" si="13"/>
        <v>514.42307692307691</v>
      </c>
      <c r="G48" s="39">
        <f t="shared" si="14"/>
        <v>128.52661553991956</v>
      </c>
      <c r="H48" s="39">
        <f t="shared" si="15"/>
        <v>614.74261522931124</v>
      </c>
      <c r="I48" s="39">
        <f t="shared" si="16"/>
        <v>275.42957793194506</v>
      </c>
      <c r="J48" s="86">
        <f t="shared" si="3"/>
        <v>0.93365875617201455</v>
      </c>
      <c r="K48" s="86">
        <f t="shared" si="17"/>
        <v>6.6341243827985452E-2</v>
      </c>
      <c r="L48" s="39">
        <f t="shared" si="18"/>
        <v>573.95982550093004</v>
      </c>
      <c r="M48" s="39">
        <f t="shared" si="19"/>
        <v>18.272340787022287</v>
      </c>
      <c r="N48" s="112">
        <f t="shared" si="20"/>
        <v>592.23216628795228</v>
      </c>
      <c r="P48">
        <f t="shared" si="7"/>
        <v>0</v>
      </c>
      <c r="Q48">
        <f t="shared" si="8"/>
        <v>0</v>
      </c>
      <c r="R48">
        <f t="shared" si="9"/>
        <v>0</v>
      </c>
      <c r="S48">
        <f t="shared" si="10"/>
        <v>0</v>
      </c>
      <c r="T48">
        <f t="shared" si="11"/>
        <v>0</v>
      </c>
    </row>
    <row r="49" spans="1:20" x14ac:dyDescent="0.25">
      <c r="A49" s="4">
        <f t="shared" si="21"/>
        <v>0.87999999999999989</v>
      </c>
      <c r="B49" s="30">
        <f t="shared" si="4"/>
        <v>10192.307692307688</v>
      </c>
      <c r="C49" s="30">
        <f t="shared" si="5"/>
        <v>261.47999999999996</v>
      </c>
      <c r="D49" s="30">
        <f t="shared" si="6"/>
        <v>313.97694524495671</v>
      </c>
      <c r="E49" s="39">
        <f t="shared" si="12"/>
        <v>2038.4615384615377</v>
      </c>
      <c r="F49" s="39">
        <f t="shared" si="13"/>
        <v>509.61538461538441</v>
      </c>
      <c r="G49" s="39">
        <f t="shared" si="14"/>
        <v>125.59077809798269</v>
      </c>
      <c r="H49" s="39">
        <f t="shared" si="15"/>
        <v>603.25537574817076</v>
      </c>
      <c r="I49" s="39">
        <f t="shared" si="16"/>
        <v>275.42957793194506</v>
      </c>
      <c r="J49" s="86">
        <f t="shared" si="3"/>
        <v>0.95548416704910533</v>
      </c>
      <c r="K49" s="86">
        <f t="shared" si="17"/>
        <v>4.4515832950894674E-2</v>
      </c>
      <c r="L49" s="39">
        <f t="shared" si="18"/>
        <v>576.40096021463603</v>
      </c>
      <c r="M49" s="39">
        <f t="shared" si="19"/>
        <v>12.260977080953893</v>
      </c>
      <c r="N49" s="112">
        <f t="shared" si="20"/>
        <v>588.66193729558995</v>
      </c>
      <c r="P49">
        <f t="shared" si="7"/>
        <v>0</v>
      </c>
      <c r="Q49">
        <f t="shared" si="8"/>
        <v>0</v>
      </c>
      <c r="R49">
        <f t="shared" si="9"/>
        <v>0</v>
      </c>
      <c r="S49">
        <f t="shared" si="10"/>
        <v>0</v>
      </c>
      <c r="T49">
        <f t="shared" si="11"/>
        <v>0</v>
      </c>
    </row>
    <row r="50" spans="1:20" x14ac:dyDescent="0.25">
      <c r="A50" s="4">
        <f t="shared" si="21"/>
        <v>0.87499999999999989</v>
      </c>
      <c r="B50" s="30">
        <f t="shared" si="4"/>
        <v>10096.153846153842</v>
      </c>
      <c r="C50" s="30">
        <f t="shared" si="5"/>
        <v>256.40624999999989</v>
      </c>
      <c r="D50" s="30">
        <f t="shared" si="6"/>
        <v>306.72897196261664</v>
      </c>
      <c r="E50" s="39">
        <f t="shared" si="12"/>
        <v>2019.2307692307686</v>
      </c>
      <c r="F50" s="39">
        <f t="shared" si="13"/>
        <v>504.80769230769215</v>
      </c>
      <c r="G50" s="39">
        <f t="shared" si="14"/>
        <v>122.69158878504666</v>
      </c>
      <c r="H50" s="39">
        <f t="shared" si="15"/>
        <v>591.73148813802982</v>
      </c>
      <c r="I50" s="39">
        <f t="shared" si="16"/>
        <v>275.42957793194506</v>
      </c>
      <c r="J50" s="86">
        <f t="shared" si="3"/>
        <v>0.97806215722120715</v>
      </c>
      <c r="K50" s="86">
        <f t="shared" si="17"/>
        <v>2.1937842778792849E-2</v>
      </c>
      <c r="L50" s="39">
        <f t="shared" si="18"/>
        <v>578.75017578399661</v>
      </c>
      <c r="M50" s="39">
        <f t="shared" si="19"/>
        <v>6.0423307773002835</v>
      </c>
      <c r="N50" s="112">
        <f t="shared" si="20"/>
        <v>584.79250656129693</v>
      </c>
      <c r="P50">
        <f t="shared" si="7"/>
        <v>0</v>
      </c>
      <c r="Q50">
        <f t="shared" si="8"/>
        <v>0</v>
      </c>
      <c r="R50">
        <f t="shared" si="9"/>
        <v>0</v>
      </c>
      <c r="S50">
        <f t="shared" si="10"/>
        <v>0</v>
      </c>
      <c r="T50">
        <f t="shared" si="11"/>
        <v>0</v>
      </c>
    </row>
    <row r="51" spans="1:20" x14ac:dyDescent="0.25">
      <c r="A51" s="4">
        <f t="shared" si="21"/>
        <v>0.86999999999999988</v>
      </c>
      <c r="B51" s="30">
        <f t="shared" si="4"/>
        <v>9999.9999999999964</v>
      </c>
      <c r="C51" s="30">
        <f t="shared" si="5"/>
        <v>251.3549999999999</v>
      </c>
      <c r="D51" s="30">
        <f t="shared" si="6"/>
        <v>299.57094332876454</v>
      </c>
      <c r="E51" s="39">
        <f t="shared" si="12"/>
        <v>1999.9999999999993</v>
      </c>
      <c r="F51" s="39">
        <f t="shared" si="13"/>
        <v>499.99999999999983</v>
      </c>
      <c r="G51" s="39">
        <f t="shared" si="14"/>
        <v>119.82837733150582</v>
      </c>
      <c r="H51" s="39">
        <f t="shared" si="15"/>
        <v>580.17162266849368</v>
      </c>
      <c r="I51" s="39">
        <f t="shared" si="16"/>
        <v>275.42957793194506</v>
      </c>
      <c r="J51" s="86">
        <f t="shared" si="3"/>
        <v>1</v>
      </c>
      <c r="K51" s="86">
        <f t="shared" si="17"/>
        <v>0</v>
      </c>
      <c r="L51" s="39">
        <f t="shared" si="18"/>
        <v>580.17162266849368</v>
      </c>
      <c r="M51" s="39">
        <f t="shared" si="19"/>
        <v>0</v>
      </c>
      <c r="N51" s="112">
        <f t="shared" si="20"/>
        <v>580.17162266849368</v>
      </c>
      <c r="P51">
        <f t="shared" si="7"/>
        <v>0</v>
      </c>
      <c r="Q51">
        <f t="shared" si="8"/>
        <v>0</v>
      </c>
      <c r="R51">
        <f t="shared" si="9"/>
        <v>0</v>
      </c>
      <c r="S51">
        <f t="shared" si="10"/>
        <v>0.86999999999999988</v>
      </c>
      <c r="T51">
        <f t="shared" si="11"/>
        <v>1</v>
      </c>
    </row>
    <row r="52" spans="1:20" x14ac:dyDescent="0.25">
      <c r="A52" s="4">
        <f t="shared" si="21"/>
        <v>0.86499999999999988</v>
      </c>
      <c r="B52" s="30">
        <f t="shared" si="4"/>
        <v>9903.8461538461506</v>
      </c>
      <c r="C52" s="30">
        <f t="shared" si="5"/>
        <v>246.32624999999979</v>
      </c>
      <c r="D52" s="30">
        <f t="shared" si="6"/>
        <v>292.50122456249687</v>
      </c>
      <c r="E52" s="39">
        <f t="shared" si="12"/>
        <v>1980.7692307692303</v>
      </c>
      <c r="F52" s="39">
        <f t="shared" si="13"/>
        <v>495.19230769230757</v>
      </c>
      <c r="G52" s="39">
        <f t="shared" si="14"/>
        <v>117.00048982499875</v>
      </c>
      <c r="H52" s="39">
        <f t="shared" si="15"/>
        <v>568.57643325192385</v>
      </c>
      <c r="I52" s="39">
        <f t="shared" si="16"/>
        <v>275.42957793194506</v>
      </c>
      <c r="J52" s="86">
        <f t="shared" si="3"/>
        <v>1</v>
      </c>
      <c r="K52" s="86">
        <f t="shared" si="17"/>
        <v>0</v>
      </c>
      <c r="L52" s="39">
        <f t="shared" si="18"/>
        <v>568.57643325192385</v>
      </c>
      <c r="M52" s="39">
        <f t="shared" si="19"/>
        <v>0</v>
      </c>
      <c r="N52" s="112">
        <f t="shared" si="20"/>
        <v>568.57643325192385</v>
      </c>
      <c r="P52">
        <f t="shared" si="7"/>
        <v>0</v>
      </c>
      <c r="Q52">
        <f t="shared" si="8"/>
        <v>0</v>
      </c>
      <c r="R52">
        <f t="shared" si="9"/>
        <v>0</v>
      </c>
      <c r="S52">
        <f t="shared" si="10"/>
        <v>0</v>
      </c>
      <c r="T52">
        <f t="shared" si="11"/>
        <v>0</v>
      </c>
    </row>
    <row r="53" spans="1:20" x14ac:dyDescent="0.25">
      <c r="A53" s="4">
        <f t="shared" si="21"/>
        <v>0.85999999999999988</v>
      </c>
      <c r="B53" s="30">
        <f t="shared" si="4"/>
        <v>9807.6923076923049</v>
      </c>
      <c r="C53" s="30">
        <f t="shared" si="5"/>
        <v>241.31999999999991</v>
      </c>
      <c r="D53" s="30">
        <f t="shared" si="6"/>
        <v>285.51822053951719</v>
      </c>
      <c r="E53" s="39">
        <f t="shared" si="12"/>
        <v>1961.538461538461</v>
      </c>
      <c r="F53" s="39">
        <f t="shared" si="13"/>
        <v>490.38461538461524</v>
      </c>
      <c r="G53" s="39">
        <f t="shared" si="14"/>
        <v>114.20728821580688</v>
      </c>
      <c r="H53" s="39">
        <f t="shared" si="15"/>
        <v>556.94655793803895</v>
      </c>
      <c r="I53" s="39">
        <f t="shared" si="16"/>
        <v>275.42957793194506</v>
      </c>
      <c r="J53" s="86">
        <f t="shared" si="3"/>
        <v>1</v>
      </c>
      <c r="K53" s="86">
        <f t="shared" si="17"/>
        <v>0</v>
      </c>
      <c r="L53" s="39">
        <f t="shared" si="18"/>
        <v>556.94655793803895</v>
      </c>
      <c r="M53" s="39">
        <f t="shared" si="19"/>
        <v>0</v>
      </c>
      <c r="N53" s="112">
        <f t="shared" si="20"/>
        <v>556.94655793803895</v>
      </c>
      <c r="P53">
        <f t="shared" si="7"/>
        <v>0</v>
      </c>
      <c r="Q53">
        <f t="shared" si="8"/>
        <v>0</v>
      </c>
      <c r="R53">
        <f t="shared" si="9"/>
        <v>0</v>
      </c>
      <c r="S53">
        <f t="shared" si="10"/>
        <v>0</v>
      </c>
      <c r="T53">
        <f t="shared" si="11"/>
        <v>0</v>
      </c>
    </row>
    <row r="54" spans="1:20" x14ac:dyDescent="0.25">
      <c r="A54" s="4">
        <f t="shared" si="21"/>
        <v>0.85499999999999987</v>
      </c>
      <c r="B54" s="30">
        <f t="shared" si="4"/>
        <v>9711.5384615384592</v>
      </c>
      <c r="C54" s="30">
        <f t="shared" si="5"/>
        <v>236.33624999999984</v>
      </c>
      <c r="D54" s="30">
        <f t="shared" si="6"/>
        <v>278.62037460027392</v>
      </c>
      <c r="E54" s="39">
        <f t="shared" si="12"/>
        <v>1942.3076923076919</v>
      </c>
      <c r="F54" s="39">
        <f t="shared" si="13"/>
        <v>485.57692307692298</v>
      </c>
      <c r="G54" s="39">
        <f t="shared" si="14"/>
        <v>111.44814984010958</v>
      </c>
      <c r="H54" s="39">
        <f t="shared" si="15"/>
        <v>545.28261939065942</v>
      </c>
      <c r="I54" s="39">
        <f t="shared" si="16"/>
        <v>275.42957793194506</v>
      </c>
      <c r="J54" s="86">
        <f t="shared" si="3"/>
        <v>1</v>
      </c>
      <c r="K54" s="86">
        <f t="shared" si="17"/>
        <v>0</v>
      </c>
      <c r="L54" s="39">
        <f t="shared" si="18"/>
        <v>545.28261939065942</v>
      </c>
      <c r="M54" s="39">
        <f t="shared" si="19"/>
        <v>0</v>
      </c>
      <c r="N54" s="112">
        <f t="shared" si="20"/>
        <v>545.28261939065942</v>
      </c>
      <c r="P54">
        <f t="shared" si="7"/>
        <v>0</v>
      </c>
      <c r="Q54">
        <f t="shared" si="8"/>
        <v>0</v>
      </c>
      <c r="R54">
        <f t="shared" si="9"/>
        <v>0</v>
      </c>
      <c r="S54">
        <f t="shared" si="10"/>
        <v>0</v>
      </c>
      <c r="T54">
        <f t="shared" si="11"/>
        <v>0</v>
      </c>
    </row>
    <row r="55" spans="1:20" x14ac:dyDescent="0.25">
      <c r="A55" s="4">
        <f t="shared" si="21"/>
        <v>0.84999999999999987</v>
      </c>
      <c r="B55" s="30">
        <f t="shared" si="4"/>
        <v>9615.3846153846098</v>
      </c>
      <c r="C55" s="30">
        <f t="shared" si="5"/>
        <v>231.37499999999986</v>
      </c>
      <c r="D55" s="30">
        <f t="shared" si="6"/>
        <v>271.8061674008809</v>
      </c>
      <c r="E55" s="39">
        <f t="shared" si="12"/>
        <v>1923.076923076922</v>
      </c>
      <c r="F55" s="39">
        <f t="shared" si="13"/>
        <v>480.76923076923049</v>
      </c>
      <c r="G55" s="39">
        <f t="shared" si="14"/>
        <v>108.72246696035236</v>
      </c>
      <c r="H55" s="39">
        <f t="shared" si="15"/>
        <v>533.58522534733902</v>
      </c>
      <c r="I55" s="39">
        <f t="shared" si="16"/>
        <v>275.42957793194506</v>
      </c>
      <c r="J55" s="86">
        <f t="shared" si="3"/>
        <v>1</v>
      </c>
      <c r="K55" s="86">
        <f t="shared" si="17"/>
        <v>0</v>
      </c>
      <c r="L55" s="39">
        <f t="shared" si="18"/>
        <v>533.58522534733902</v>
      </c>
      <c r="M55" s="39">
        <f t="shared" si="19"/>
        <v>0</v>
      </c>
      <c r="N55" s="112">
        <f t="shared" si="20"/>
        <v>533.58522534733902</v>
      </c>
      <c r="P55">
        <f t="shared" si="7"/>
        <v>0</v>
      </c>
      <c r="Q55">
        <f t="shared" si="8"/>
        <v>0</v>
      </c>
      <c r="R55">
        <f t="shared" si="9"/>
        <v>0</v>
      </c>
      <c r="S55">
        <f t="shared" si="10"/>
        <v>0</v>
      </c>
      <c r="T55">
        <f t="shared" si="11"/>
        <v>0</v>
      </c>
    </row>
    <row r="56" spans="1:20" x14ac:dyDescent="0.25">
      <c r="A56" s="4">
        <f t="shared" si="21"/>
        <v>0.84499999999999986</v>
      </c>
      <c r="B56" s="30">
        <f t="shared" si="4"/>
        <v>9519.2307692307641</v>
      </c>
      <c r="C56" s="30">
        <f t="shared" si="5"/>
        <v>226.43624999999992</v>
      </c>
      <c r="D56" s="30">
        <f t="shared" si="6"/>
        <v>265.07411580503071</v>
      </c>
      <c r="E56" s="39">
        <f t="shared" si="12"/>
        <v>1903.8461538461529</v>
      </c>
      <c r="F56" s="39">
        <f t="shared" si="13"/>
        <v>475.96153846153823</v>
      </c>
      <c r="G56" s="39">
        <f t="shared" si="14"/>
        <v>106.0296463220123</v>
      </c>
      <c r="H56" s="39">
        <f t="shared" si="15"/>
        <v>521.85496906260255</v>
      </c>
      <c r="I56" s="39">
        <f t="shared" si="16"/>
        <v>275.42957793194506</v>
      </c>
      <c r="J56" s="86">
        <f t="shared" si="3"/>
        <v>1</v>
      </c>
      <c r="K56" s="86">
        <f t="shared" si="17"/>
        <v>0</v>
      </c>
      <c r="L56" s="39">
        <f t="shared" si="18"/>
        <v>521.85496906260255</v>
      </c>
      <c r="M56" s="39">
        <f t="shared" si="19"/>
        <v>0</v>
      </c>
      <c r="N56" s="112">
        <f t="shared" si="20"/>
        <v>521.85496906260255</v>
      </c>
      <c r="P56">
        <f t="shared" si="7"/>
        <v>0</v>
      </c>
      <c r="Q56">
        <f t="shared" si="8"/>
        <v>0</v>
      </c>
      <c r="R56">
        <f t="shared" si="9"/>
        <v>0</v>
      </c>
      <c r="S56">
        <f t="shared" si="10"/>
        <v>0</v>
      </c>
      <c r="T56">
        <f t="shared" si="11"/>
        <v>0</v>
      </c>
    </row>
    <row r="57" spans="1:20" x14ac:dyDescent="0.25">
      <c r="A57" s="4">
        <f t="shared" si="21"/>
        <v>0.83999999999999986</v>
      </c>
      <c r="B57" s="30">
        <f t="shared" si="4"/>
        <v>9423.0769230769183</v>
      </c>
      <c r="C57" s="30">
        <f t="shared" si="5"/>
        <v>221.5199999999999</v>
      </c>
      <c r="D57" s="30">
        <f t="shared" si="6"/>
        <v>258.42277181521217</v>
      </c>
      <c r="E57" s="39">
        <f t="shared" si="12"/>
        <v>1884.6153846153838</v>
      </c>
      <c r="F57" s="39">
        <f t="shared" si="13"/>
        <v>471.15384615384596</v>
      </c>
      <c r="G57" s="39">
        <f t="shared" si="14"/>
        <v>103.36910872608487</v>
      </c>
      <c r="H57" s="39">
        <f t="shared" si="15"/>
        <v>510.09242973545292</v>
      </c>
      <c r="I57" s="39">
        <f t="shared" si="16"/>
        <v>275.42957793194506</v>
      </c>
      <c r="J57" s="86">
        <f t="shared" si="3"/>
        <v>1</v>
      </c>
      <c r="K57" s="86">
        <f t="shared" si="17"/>
        <v>0</v>
      </c>
      <c r="L57" s="39">
        <f t="shared" si="18"/>
        <v>510.09242973545292</v>
      </c>
      <c r="M57" s="39">
        <f t="shared" si="19"/>
        <v>0</v>
      </c>
      <c r="N57" s="112">
        <f t="shared" si="20"/>
        <v>510.09242973545292</v>
      </c>
      <c r="P57">
        <f t="shared" ref="P57:P88" si="22">IF($N57=$V$92,D57,0)</f>
        <v>0</v>
      </c>
      <c r="Q57">
        <f t="shared" ref="Q57:Q88" si="23">IF(N57=V$92,A57,0)</f>
        <v>0</v>
      </c>
      <c r="R57">
        <f t="shared" ref="R57:R88" si="24">IF($N57=$V$92,J57,0)</f>
        <v>0</v>
      </c>
      <c r="S57">
        <f t="shared" ref="S57:S88" si="25">IF($L57=$V$93,A57,0)</f>
        <v>0</v>
      </c>
      <c r="T57">
        <f t="shared" ref="T57:T88" si="26">IF($L57=$V$93,J57,0)</f>
        <v>0</v>
      </c>
    </row>
    <row r="58" spans="1:20" x14ac:dyDescent="0.25">
      <c r="A58" s="4">
        <f t="shared" si="21"/>
        <v>0.83499999999999985</v>
      </c>
      <c r="B58" s="30">
        <f t="shared" si="4"/>
        <v>9326.9230769230726</v>
      </c>
      <c r="C58" s="30">
        <f t="shared" si="5"/>
        <v>216.62624999999991</v>
      </c>
      <c r="D58" s="30">
        <f t="shared" si="6"/>
        <v>251.85072154161386</v>
      </c>
      <c r="E58" s="39">
        <f t="shared" si="12"/>
        <v>1865.3846153846146</v>
      </c>
      <c r="F58" s="39">
        <f t="shared" si="13"/>
        <v>466.34615384615364</v>
      </c>
      <c r="G58" s="39">
        <f t="shared" si="14"/>
        <v>100.74028861664556</v>
      </c>
      <c r="H58" s="39">
        <f t="shared" si="15"/>
        <v>498.29817292181542</v>
      </c>
      <c r="I58" s="39">
        <f t="shared" si="16"/>
        <v>275.42957793194506</v>
      </c>
      <c r="J58" s="86">
        <f t="shared" si="3"/>
        <v>1</v>
      </c>
      <c r="K58" s="86">
        <f t="shared" si="17"/>
        <v>0</v>
      </c>
      <c r="L58" s="39">
        <f t="shared" si="18"/>
        <v>498.29817292181542</v>
      </c>
      <c r="M58" s="39">
        <f t="shared" si="19"/>
        <v>0</v>
      </c>
      <c r="N58" s="112">
        <f t="shared" si="20"/>
        <v>498.29817292181542</v>
      </c>
      <c r="P58">
        <f t="shared" si="22"/>
        <v>0</v>
      </c>
      <c r="Q58">
        <f t="shared" si="23"/>
        <v>0</v>
      </c>
      <c r="R58">
        <f t="shared" si="24"/>
        <v>0</v>
      </c>
      <c r="S58">
        <f t="shared" si="25"/>
        <v>0</v>
      </c>
      <c r="T58">
        <f t="shared" si="26"/>
        <v>0</v>
      </c>
    </row>
    <row r="59" spans="1:20" x14ac:dyDescent="0.25">
      <c r="A59" s="4">
        <f t="shared" si="21"/>
        <v>0.82999999999999985</v>
      </c>
      <c r="B59" s="30">
        <f t="shared" si="4"/>
        <v>9230.7692307692269</v>
      </c>
      <c r="C59" s="30">
        <f t="shared" si="5"/>
        <v>211.75499999999982</v>
      </c>
      <c r="D59" s="30">
        <f t="shared" si="6"/>
        <v>245.35658420717201</v>
      </c>
      <c r="E59" s="39">
        <f t="shared" si="12"/>
        <v>1846.1538461538455</v>
      </c>
      <c r="F59" s="39">
        <f t="shared" si="13"/>
        <v>461.53846153846138</v>
      </c>
      <c r="G59" s="39">
        <f t="shared" si="14"/>
        <v>98.142633682868805</v>
      </c>
      <c r="H59" s="39">
        <f t="shared" si="15"/>
        <v>486.47275093251528</v>
      </c>
      <c r="I59" s="39">
        <f t="shared" si="16"/>
        <v>275.42957793194506</v>
      </c>
      <c r="J59" s="86">
        <f t="shared" si="3"/>
        <v>1</v>
      </c>
      <c r="K59" s="86">
        <f t="shared" si="17"/>
        <v>0</v>
      </c>
      <c r="L59" s="39">
        <f t="shared" si="18"/>
        <v>486.47275093251528</v>
      </c>
      <c r="M59" s="39">
        <f t="shared" si="19"/>
        <v>0</v>
      </c>
      <c r="N59" s="112">
        <f t="shared" si="20"/>
        <v>486.47275093251528</v>
      </c>
      <c r="P59">
        <f t="shared" si="22"/>
        <v>0</v>
      </c>
      <c r="Q59">
        <f t="shared" si="23"/>
        <v>0</v>
      </c>
      <c r="R59">
        <f t="shared" si="24"/>
        <v>0</v>
      </c>
      <c r="S59">
        <f t="shared" si="25"/>
        <v>0</v>
      </c>
      <c r="T59">
        <f t="shared" si="26"/>
        <v>0</v>
      </c>
    </row>
    <row r="60" spans="1:20" x14ac:dyDescent="0.25">
      <c r="A60" s="4">
        <f t="shared" si="21"/>
        <v>0.82499999999999984</v>
      </c>
      <c r="B60" s="30">
        <f t="shared" si="4"/>
        <v>9134.6153846153811</v>
      </c>
      <c r="C60" s="30">
        <f t="shared" si="5"/>
        <v>206.90624999999977</v>
      </c>
      <c r="D60" s="30">
        <f t="shared" si="6"/>
        <v>238.93901118729667</v>
      </c>
      <c r="E60" s="39">
        <f t="shared" si="12"/>
        <v>1826.9230769230762</v>
      </c>
      <c r="F60" s="39">
        <f t="shared" si="13"/>
        <v>456.73076923076906</v>
      </c>
      <c r="G60" s="39">
        <f t="shared" si="14"/>
        <v>95.575604474918677</v>
      </c>
      <c r="H60" s="39">
        <f t="shared" si="15"/>
        <v>474.61670321738848</v>
      </c>
      <c r="I60" s="39">
        <f t="shared" si="16"/>
        <v>275.42957793194506</v>
      </c>
      <c r="J60" s="86">
        <f t="shared" si="3"/>
        <v>1</v>
      </c>
      <c r="K60" s="86">
        <f t="shared" si="17"/>
        <v>0</v>
      </c>
      <c r="L60" s="39">
        <f t="shared" si="18"/>
        <v>474.61670321738848</v>
      </c>
      <c r="M60" s="39">
        <f t="shared" si="19"/>
        <v>0</v>
      </c>
      <c r="N60" s="112">
        <f t="shared" si="20"/>
        <v>474.61670321738848</v>
      </c>
      <c r="P60">
        <f t="shared" si="22"/>
        <v>0</v>
      </c>
      <c r="Q60">
        <f t="shared" si="23"/>
        <v>0</v>
      </c>
      <c r="R60">
        <f t="shared" si="24"/>
        <v>0</v>
      </c>
      <c r="S60">
        <f t="shared" si="25"/>
        <v>0</v>
      </c>
      <c r="T60">
        <f t="shared" si="26"/>
        <v>0</v>
      </c>
    </row>
    <row r="61" spans="1:20" x14ac:dyDescent="0.25">
      <c r="A61" s="4">
        <f t="shared" si="21"/>
        <v>0.81999999999999984</v>
      </c>
      <c r="B61" s="30">
        <f t="shared" ref="B61:B75" si="27">B$6*(MAX(0,U$5+U$6*A61+U$7*A61^2))</f>
        <v>9038.4615384615354</v>
      </c>
      <c r="C61" s="30">
        <f t="shared" ref="C61:C75" si="28">MAX(A61*S$17-S$18*(MIN(1,U$8+U$9*A61+U$10*A61^2))-S$19*(MIN(1,U$11+U$12*A61+U$13*A61^2)),0)</f>
        <v>202.0799999999999</v>
      </c>
      <c r="D61" s="30">
        <f t="shared" ref="D61:D75" si="29">C61/(MIN(1,U$14+U$15*A61+U$16*A61^2))</f>
        <v>232.59668508287274</v>
      </c>
      <c r="E61" s="39">
        <f t="shared" si="12"/>
        <v>1807.6923076923072</v>
      </c>
      <c r="F61" s="39">
        <f t="shared" si="13"/>
        <v>451.92307692307679</v>
      </c>
      <c r="G61" s="39">
        <f t="shared" si="14"/>
        <v>93.038674033149107</v>
      </c>
      <c r="H61" s="39">
        <f t="shared" si="15"/>
        <v>462.73055673608133</v>
      </c>
      <c r="I61" s="39">
        <f t="shared" si="16"/>
        <v>275.42957793194506</v>
      </c>
      <c r="J61" s="86">
        <f t="shared" si="3"/>
        <v>1</v>
      </c>
      <c r="K61" s="86">
        <f t="shared" si="17"/>
        <v>0</v>
      </c>
      <c r="L61" s="39">
        <f t="shared" si="18"/>
        <v>462.73055673608133</v>
      </c>
      <c r="M61" s="39">
        <f t="shared" si="19"/>
        <v>0</v>
      </c>
      <c r="N61" s="112">
        <f t="shared" si="20"/>
        <v>462.73055673608133</v>
      </c>
      <c r="P61">
        <f t="shared" si="22"/>
        <v>0</v>
      </c>
      <c r="Q61">
        <f t="shared" si="23"/>
        <v>0</v>
      </c>
      <c r="R61">
        <f t="shared" si="24"/>
        <v>0</v>
      </c>
      <c r="S61">
        <f t="shared" si="25"/>
        <v>0</v>
      </c>
      <c r="T61">
        <f t="shared" si="26"/>
        <v>0</v>
      </c>
    </row>
    <row r="62" spans="1:20" x14ac:dyDescent="0.25">
      <c r="A62" s="4">
        <f t="shared" si="21"/>
        <v>0.81499999999999984</v>
      </c>
      <c r="B62" s="30">
        <f t="shared" si="27"/>
        <v>8942.307692307686</v>
      </c>
      <c r="C62" s="30">
        <f t="shared" si="28"/>
        <v>197.27624999999989</v>
      </c>
      <c r="D62" s="30">
        <f t="shared" si="29"/>
        <v>226.32831882519955</v>
      </c>
      <c r="E62" s="39">
        <f t="shared" si="12"/>
        <v>1788.4615384615372</v>
      </c>
      <c r="F62" s="39">
        <f t="shared" si="13"/>
        <v>447.1153846153843</v>
      </c>
      <c r="G62" s="39">
        <f t="shared" si="14"/>
        <v>90.531327530079821</v>
      </c>
      <c r="H62" s="39">
        <f t="shared" si="15"/>
        <v>450.81482631607309</v>
      </c>
      <c r="I62" s="39">
        <f t="shared" si="16"/>
        <v>275.42957793194506</v>
      </c>
      <c r="J62" s="86">
        <f t="shared" si="3"/>
        <v>1</v>
      </c>
      <c r="K62" s="86">
        <f t="shared" si="17"/>
        <v>0</v>
      </c>
      <c r="L62" s="39">
        <f t="shared" si="18"/>
        <v>450.81482631607309</v>
      </c>
      <c r="M62" s="39">
        <f t="shared" si="19"/>
        <v>0</v>
      </c>
      <c r="N62" s="112">
        <f t="shared" si="20"/>
        <v>450.81482631607309</v>
      </c>
      <c r="P62">
        <f t="shared" si="22"/>
        <v>0</v>
      </c>
      <c r="Q62">
        <f t="shared" si="23"/>
        <v>0</v>
      </c>
      <c r="R62">
        <f t="shared" si="24"/>
        <v>0</v>
      </c>
      <c r="S62">
        <f t="shared" si="25"/>
        <v>0</v>
      </c>
      <c r="T62">
        <f t="shared" si="26"/>
        <v>0</v>
      </c>
    </row>
    <row r="63" spans="1:20" x14ac:dyDescent="0.25">
      <c r="A63" s="4">
        <f t="shared" si="21"/>
        <v>0.80999999999999983</v>
      </c>
      <c r="B63" s="30">
        <f t="shared" si="27"/>
        <v>8846.1538461538403</v>
      </c>
      <c r="C63" s="30">
        <f t="shared" si="28"/>
        <v>192.49499999999981</v>
      </c>
      <c r="D63" s="30">
        <f t="shared" si="29"/>
        <v>220.13265481159561</v>
      </c>
      <c r="E63" s="39">
        <f t="shared" si="12"/>
        <v>1769.2307692307681</v>
      </c>
      <c r="F63" s="39">
        <f t="shared" si="13"/>
        <v>442.30769230769204</v>
      </c>
      <c r="G63" s="39">
        <f t="shared" si="14"/>
        <v>88.053061924638257</v>
      </c>
      <c r="H63" s="39">
        <f t="shared" si="15"/>
        <v>438.87001499843791</v>
      </c>
      <c r="I63" s="39">
        <f t="shared" si="16"/>
        <v>275.42957793194506</v>
      </c>
      <c r="J63" s="86">
        <f t="shared" si="3"/>
        <v>1</v>
      </c>
      <c r="K63" s="86">
        <f t="shared" si="17"/>
        <v>0</v>
      </c>
      <c r="L63" s="39">
        <f t="shared" si="18"/>
        <v>438.87001499843791</v>
      </c>
      <c r="M63" s="39">
        <f t="shared" si="19"/>
        <v>0</v>
      </c>
      <c r="N63" s="112">
        <f t="shared" si="20"/>
        <v>438.87001499843791</v>
      </c>
      <c r="P63">
        <f t="shared" si="22"/>
        <v>0</v>
      </c>
      <c r="Q63">
        <f t="shared" si="23"/>
        <v>0</v>
      </c>
      <c r="R63">
        <f t="shared" si="24"/>
        <v>0</v>
      </c>
      <c r="S63">
        <f t="shared" si="25"/>
        <v>0</v>
      </c>
      <c r="T63">
        <f t="shared" si="26"/>
        <v>0</v>
      </c>
    </row>
    <row r="64" spans="1:20" x14ac:dyDescent="0.25">
      <c r="A64" s="4">
        <f t="shared" si="21"/>
        <v>0.80499999999999983</v>
      </c>
      <c r="B64" s="30">
        <f t="shared" si="27"/>
        <v>8749.9999999999945</v>
      </c>
      <c r="C64" s="30">
        <f t="shared" si="28"/>
        <v>187.73624999999987</v>
      </c>
      <c r="D64" s="30">
        <f t="shared" si="29"/>
        <v>214.00846407044824</v>
      </c>
      <c r="E64" s="39">
        <f t="shared" si="12"/>
        <v>1749.9999999999991</v>
      </c>
      <c r="F64" s="39">
        <f t="shared" si="13"/>
        <v>437.49999999999977</v>
      </c>
      <c r="G64" s="39">
        <f t="shared" si="14"/>
        <v>85.603385628179296</v>
      </c>
      <c r="H64" s="39">
        <f t="shared" si="15"/>
        <v>426.89661437182008</v>
      </c>
      <c r="I64" s="39">
        <f t="shared" si="16"/>
        <v>275.42957793194506</v>
      </c>
      <c r="J64" s="86">
        <f t="shared" si="3"/>
        <v>1</v>
      </c>
      <c r="K64" s="86">
        <f t="shared" si="17"/>
        <v>0</v>
      </c>
      <c r="L64" s="39">
        <f t="shared" si="18"/>
        <v>426.89661437182008</v>
      </c>
      <c r="M64" s="39">
        <f t="shared" si="19"/>
        <v>0</v>
      </c>
      <c r="N64" s="112">
        <f t="shared" si="20"/>
        <v>426.89661437182008</v>
      </c>
      <c r="P64">
        <f t="shared" si="22"/>
        <v>0</v>
      </c>
      <c r="Q64">
        <f t="shared" si="23"/>
        <v>0</v>
      </c>
      <c r="R64">
        <f t="shared" si="24"/>
        <v>0</v>
      </c>
      <c r="S64">
        <f t="shared" si="25"/>
        <v>0</v>
      </c>
      <c r="T64">
        <f t="shared" si="26"/>
        <v>0</v>
      </c>
    </row>
    <row r="65" spans="1:20" x14ac:dyDescent="0.25">
      <c r="A65" s="4">
        <f t="shared" si="21"/>
        <v>0.79999999999999982</v>
      </c>
      <c r="B65" s="30">
        <f t="shared" si="27"/>
        <v>8653.8461538461488</v>
      </c>
      <c r="C65" s="30">
        <f t="shared" si="28"/>
        <v>182.99999999999977</v>
      </c>
      <c r="D65" s="30">
        <f t="shared" si="29"/>
        <v>207.95454545454515</v>
      </c>
      <c r="E65" s="39">
        <f t="shared" si="12"/>
        <v>1730.7692307692298</v>
      </c>
      <c r="F65" s="39">
        <f t="shared" si="13"/>
        <v>432.69230769230745</v>
      </c>
      <c r="G65" s="39">
        <f t="shared" si="14"/>
        <v>83.181818181818073</v>
      </c>
      <c r="H65" s="39">
        <f t="shared" si="15"/>
        <v>414.8951048951044</v>
      </c>
      <c r="I65" s="39">
        <f t="shared" si="16"/>
        <v>275.42957793194506</v>
      </c>
      <c r="J65" s="86">
        <f t="shared" si="3"/>
        <v>1</v>
      </c>
      <c r="K65" s="86">
        <f t="shared" si="17"/>
        <v>0</v>
      </c>
      <c r="L65" s="39">
        <f t="shared" si="18"/>
        <v>414.8951048951044</v>
      </c>
      <c r="M65" s="39">
        <f t="shared" si="19"/>
        <v>0</v>
      </c>
      <c r="N65" s="112">
        <f t="shared" si="20"/>
        <v>414.8951048951044</v>
      </c>
      <c r="P65">
        <f t="shared" si="22"/>
        <v>0</v>
      </c>
      <c r="Q65">
        <f t="shared" si="23"/>
        <v>0</v>
      </c>
      <c r="R65">
        <f t="shared" si="24"/>
        <v>0</v>
      </c>
      <c r="S65">
        <f t="shared" si="25"/>
        <v>0</v>
      </c>
      <c r="T65">
        <f t="shared" si="26"/>
        <v>0</v>
      </c>
    </row>
    <row r="66" spans="1:20" x14ac:dyDescent="0.25">
      <c r="A66" s="4">
        <f t="shared" si="21"/>
        <v>0.79499999999999982</v>
      </c>
      <c r="B66" s="30">
        <f t="shared" si="27"/>
        <v>8557.6923076923031</v>
      </c>
      <c r="C66" s="30">
        <f t="shared" si="28"/>
        <v>178.28624999999988</v>
      </c>
      <c r="D66" s="30">
        <f t="shared" si="29"/>
        <v>201.969724861581</v>
      </c>
      <c r="E66" s="39">
        <f t="shared" si="12"/>
        <v>1711.5384615384608</v>
      </c>
      <c r="F66" s="39">
        <f t="shared" si="13"/>
        <v>427.88461538461519</v>
      </c>
      <c r="G66" s="39">
        <f t="shared" si="14"/>
        <v>80.787889944632411</v>
      </c>
      <c r="H66" s="39">
        <f t="shared" si="15"/>
        <v>402.86595620921298</v>
      </c>
      <c r="I66" s="39">
        <f t="shared" si="16"/>
        <v>275.42957793194506</v>
      </c>
      <c r="J66" s="86">
        <f t="shared" si="3"/>
        <v>1</v>
      </c>
      <c r="K66" s="86">
        <f t="shared" si="17"/>
        <v>0</v>
      </c>
      <c r="L66" s="39">
        <f t="shared" si="18"/>
        <v>402.86595620921298</v>
      </c>
      <c r="M66" s="39">
        <f t="shared" si="19"/>
        <v>0</v>
      </c>
      <c r="N66" s="112">
        <f t="shared" si="20"/>
        <v>402.86595620921298</v>
      </c>
      <c r="P66">
        <f t="shared" si="22"/>
        <v>0</v>
      </c>
      <c r="Q66">
        <f t="shared" si="23"/>
        <v>0</v>
      </c>
      <c r="R66">
        <f t="shared" si="24"/>
        <v>0</v>
      </c>
      <c r="S66">
        <f t="shared" si="25"/>
        <v>0</v>
      </c>
      <c r="T66">
        <f t="shared" si="26"/>
        <v>0</v>
      </c>
    </row>
    <row r="67" spans="1:20" x14ac:dyDescent="0.25">
      <c r="A67" s="4">
        <f t="shared" si="21"/>
        <v>0.78999999999999981</v>
      </c>
      <c r="B67" s="30">
        <f t="shared" si="27"/>
        <v>8461.5384615384573</v>
      </c>
      <c r="C67" s="30">
        <f t="shared" si="28"/>
        <v>173.59499999999986</v>
      </c>
      <c r="D67" s="30">
        <f t="shared" si="29"/>
        <v>196.05285448077228</v>
      </c>
      <c r="E67" s="39">
        <f t="shared" si="12"/>
        <v>1692.3076923076915</v>
      </c>
      <c r="F67" s="39">
        <f t="shared" si="13"/>
        <v>423.07692307692287</v>
      </c>
      <c r="G67" s="39">
        <f t="shared" si="14"/>
        <v>78.421141792308916</v>
      </c>
      <c r="H67" s="39">
        <f t="shared" si="15"/>
        <v>390.80962743845976</v>
      </c>
      <c r="I67" s="39">
        <f t="shared" si="16"/>
        <v>275.42957793194506</v>
      </c>
      <c r="J67" s="86">
        <f t="shared" si="3"/>
        <v>1</v>
      </c>
      <c r="K67" s="86">
        <f t="shared" si="17"/>
        <v>0</v>
      </c>
      <c r="L67" s="39">
        <f t="shared" si="18"/>
        <v>390.80962743845976</v>
      </c>
      <c r="M67" s="39">
        <f t="shared" si="19"/>
        <v>0</v>
      </c>
      <c r="N67" s="112">
        <f t="shared" si="20"/>
        <v>390.80962743845976</v>
      </c>
      <c r="P67">
        <f t="shared" si="22"/>
        <v>0</v>
      </c>
      <c r="Q67">
        <f t="shared" si="23"/>
        <v>0</v>
      </c>
      <c r="R67">
        <f t="shared" si="24"/>
        <v>0</v>
      </c>
      <c r="S67">
        <f t="shared" si="25"/>
        <v>0</v>
      </c>
      <c r="T67">
        <f t="shared" si="26"/>
        <v>0</v>
      </c>
    </row>
    <row r="68" spans="1:20" x14ac:dyDescent="0.25">
      <c r="A68" s="4">
        <f t="shared" si="21"/>
        <v>0.78499999999999981</v>
      </c>
      <c r="B68" s="30">
        <f t="shared" si="27"/>
        <v>8365.3846153846116</v>
      </c>
      <c r="C68" s="30">
        <f t="shared" si="28"/>
        <v>168.92624999999975</v>
      </c>
      <c r="D68" s="30">
        <f t="shared" si="29"/>
        <v>190.20281206457301</v>
      </c>
      <c r="E68" s="39">
        <f t="shared" si="12"/>
        <v>1673.0769230769224</v>
      </c>
      <c r="F68" s="39">
        <f t="shared" si="13"/>
        <v>418.2692307692306</v>
      </c>
      <c r="G68" s="39">
        <f t="shared" si="14"/>
        <v>76.081124825829207</v>
      </c>
      <c r="H68" s="39">
        <f t="shared" si="15"/>
        <v>378.72656748186273</v>
      </c>
      <c r="I68" s="39">
        <f t="shared" si="16"/>
        <v>275.42957793194506</v>
      </c>
      <c r="J68" s="86">
        <f t="shared" si="3"/>
        <v>1</v>
      </c>
      <c r="K68" s="86">
        <f t="shared" si="17"/>
        <v>0</v>
      </c>
      <c r="L68" s="39">
        <f t="shared" si="18"/>
        <v>378.72656748186273</v>
      </c>
      <c r="M68" s="39">
        <f t="shared" si="19"/>
        <v>0</v>
      </c>
      <c r="N68" s="112">
        <f t="shared" si="20"/>
        <v>378.72656748186273</v>
      </c>
      <c r="P68">
        <f t="shared" si="22"/>
        <v>0</v>
      </c>
      <c r="Q68">
        <f t="shared" si="23"/>
        <v>0</v>
      </c>
      <c r="R68">
        <f t="shared" si="24"/>
        <v>0</v>
      </c>
      <c r="S68">
        <f t="shared" si="25"/>
        <v>0</v>
      </c>
      <c r="T68">
        <f t="shared" si="26"/>
        <v>0</v>
      </c>
    </row>
    <row r="69" spans="1:20" x14ac:dyDescent="0.25">
      <c r="A69" s="4">
        <f t="shared" si="21"/>
        <v>0.7799999999999998</v>
      </c>
      <c r="B69" s="30">
        <f t="shared" si="27"/>
        <v>8269.2307692307641</v>
      </c>
      <c r="C69" s="30">
        <f t="shared" si="28"/>
        <v>164.2799999999998</v>
      </c>
      <c r="D69" s="30">
        <f t="shared" si="29"/>
        <v>184.41850022451706</v>
      </c>
      <c r="E69" s="39">
        <f t="shared" si="12"/>
        <v>1653.8461538461529</v>
      </c>
      <c r="F69" s="39">
        <f t="shared" si="13"/>
        <v>413.46153846153823</v>
      </c>
      <c r="G69" s="39">
        <f t="shared" si="14"/>
        <v>73.767400089806827</v>
      </c>
      <c r="H69" s="39">
        <f t="shared" si="15"/>
        <v>366.61721529480792</v>
      </c>
      <c r="I69" s="39">
        <f t="shared" si="16"/>
        <v>275.42957793194506</v>
      </c>
      <c r="J69" s="86">
        <f t="shared" si="3"/>
        <v>1</v>
      </c>
      <c r="K69" s="86">
        <f t="shared" si="17"/>
        <v>0</v>
      </c>
      <c r="L69" s="39">
        <f t="shared" si="18"/>
        <v>366.61721529480792</v>
      </c>
      <c r="M69" s="39">
        <f t="shared" si="19"/>
        <v>0</v>
      </c>
      <c r="N69" s="112">
        <f t="shared" si="20"/>
        <v>366.61721529480792</v>
      </c>
      <c r="P69">
        <f t="shared" si="22"/>
        <v>0</v>
      </c>
      <c r="Q69">
        <f t="shared" si="23"/>
        <v>0</v>
      </c>
      <c r="R69">
        <f t="shared" si="24"/>
        <v>0</v>
      </c>
      <c r="S69">
        <f t="shared" si="25"/>
        <v>0</v>
      </c>
      <c r="T69">
        <f t="shared" si="26"/>
        <v>0</v>
      </c>
    </row>
    <row r="70" spans="1:20" x14ac:dyDescent="0.25">
      <c r="A70" s="4">
        <f t="shared" si="21"/>
        <v>0.7749999999999998</v>
      </c>
      <c r="B70" s="30">
        <f t="shared" si="27"/>
        <v>8173.0769230769174</v>
      </c>
      <c r="C70" s="30">
        <f t="shared" si="28"/>
        <v>159.65624999999989</v>
      </c>
      <c r="D70" s="30">
        <f t="shared" si="29"/>
        <v>178.69884575026219</v>
      </c>
      <c r="E70" s="39">
        <f t="shared" si="12"/>
        <v>1634.6153846153836</v>
      </c>
      <c r="F70" s="39">
        <f t="shared" si="13"/>
        <v>408.6538461538459</v>
      </c>
      <c r="G70" s="39">
        <f t="shared" si="14"/>
        <v>71.479538300104878</v>
      </c>
      <c r="H70" s="39">
        <f t="shared" si="15"/>
        <v>354.48200016143278</v>
      </c>
      <c r="I70" s="39">
        <f t="shared" si="16"/>
        <v>275.42957793194506</v>
      </c>
      <c r="J70" s="86">
        <f t="shared" si="3"/>
        <v>1</v>
      </c>
      <c r="K70" s="86">
        <f t="shared" si="17"/>
        <v>0</v>
      </c>
      <c r="L70" s="39">
        <f t="shared" si="18"/>
        <v>354.48200016143278</v>
      </c>
      <c r="M70" s="39">
        <f t="shared" si="19"/>
        <v>0</v>
      </c>
      <c r="N70" s="112">
        <f t="shared" si="20"/>
        <v>354.48200016143278</v>
      </c>
      <c r="P70">
        <f t="shared" si="22"/>
        <v>0</v>
      </c>
      <c r="Q70">
        <f t="shared" si="23"/>
        <v>0</v>
      </c>
      <c r="R70">
        <f t="shared" si="24"/>
        <v>0</v>
      </c>
      <c r="S70">
        <f t="shared" si="25"/>
        <v>0</v>
      </c>
      <c r="T70">
        <f t="shared" si="26"/>
        <v>0</v>
      </c>
    </row>
    <row r="71" spans="1:20" x14ac:dyDescent="0.25">
      <c r="A71" s="4">
        <f t="shared" si="21"/>
        <v>0.7699999999999998</v>
      </c>
      <c r="B71" s="30">
        <f t="shared" si="27"/>
        <v>8076.9230769230717</v>
      </c>
      <c r="C71" s="30">
        <f t="shared" si="28"/>
        <v>155.05499999999972</v>
      </c>
      <c r="D71" s="30">
        <f t="shared" si="29"/>
        <v>173.0427989509511</v>
      </c>
      <c r="E71" s="39">
        <f t="shared" si="12"/>
        <v>1615.3846153846143</v>
      </c>
      <c r="F71" s="39">
        <f t="shared" si="13"/>
        <v>403.84615384615358</v>
      </c>
      <c r="G71" s="39">
        <f t="shared" si="14"/>
        <v>69.217119580380441</v>
      </c>
      <c r="H71" s="39">
        <f t="shared" si="15"/>
        <v>342.32134195808021</v>
      </c>
      <c r="I71" s="39">
        <f t="shared" si="16"/>
        <v>275.42957793194506</v>
      </c>
      <c r="J71" s="86">
        <f t="shared" si="3"/>
        <v>1</v>
      </c>
      <c r="K71" s="86">
        <f t="shared" si="17"/>
        <v>0</v>
      </c>
      <c r="L71" s="39">
        <f t="shared" si="18"/>
        <v>342.32134195808021</v>
      </c>
      <c r="M71" s="39">
        <f t="shared" si="19"/>
        <v>0</v>
      </c>
      <c r="N71" s="112">
        <f t="shared" si="20"/>
        <v>342.32134195808021</v>
      </c>
      <c r="P71">
        <f t="shared" si="22"/>
        <v>0</v>
      </c>
      <c r="Q71">
        <f t="shared" si="23"/>
        <v>0</v>
      </c>
      <c r="R71">
        <f t="shared" si="24"/>
        <v>0</v>
      </c>
      <c r="S71">
        <f t="shared" si="25"/>
        <v>0</v>
      </c>
      <c r="T71">
        <f t="shared" si="26"/>
        <v>0</v>
      </c>
    </row>
    <row r="72" spans="1:20" x14ac:dyDescent="0.25">
      <c r="A72" s="4">
        <f t="shared" si="21"/>
        <v>0.76499999999999979</v>
      </c>
      <c r="B72" s="30">
        <f t="shared" si="27"/>
        <v>7980.7692307692259</v>
      </c>
      <c r="C72" s="30">
        <f t="shared" si="28"/>
        <v>150.47624999999982</v>
      </c>
      <c r="D72" s="30">
        <f t="shared" si="29"/>
        <v>167.44933301804099</v>
      </c>
      <c r="E72" s="39">
        <f t="shared" si="12"/>
        <v>1596.1538461538453</v>
      </c>
      <c r="F72" s="39">
        <f t="shared" si="13"/>
        <v>399.03846153846132</v>
      </c>
      <c r="G72" s="39">
        <f t="shared" si="14"/>
        <v>66.979733207216398</v>
      </c>
      <c r="H72" s="39">
        <f t="shared" si="15"/>
        <v>330.1356514081674</v>
      </c>
      <c r="I72" s="39">
        <f t="shared" si="16"/>
        <v>275.42957793194506</v>
      </c>
      <c r="J72" s="86">
        <f t="shared" si="3"/>
        <v>1</v>
      </c>
      <c r="K72" s="86">
        <f t="shared" si="17"/>
        <v>0</v>
      </c>
      <c r="L72" s="39">
        <f t="shared" si="18"/>
        <v>330.1356514081674</v>
      </c>
      <c r="M72" s="39">
        <f t="shared" si="19"/>
        <v>0</v>
      </c>
      <c r="N72" s="112">
        <f t="shared" si="20"/>
        <v>330.1356514081674</v>
      </c>
      <c r="P72">
        <f t="shared" si="22"/>
        <v>0</v>
      </c>
      <c r="Q72">
        <f t="shared" si="23"/>
        <v>0</v>
      </c>
      <c r="R72">
        <f t="shared" si="24"/>
        <v>0</v>
      </c>
      <c r="S72">
        <f t="shared" si="25"/>
        <v>0</v>
      </c>
      <c r="T72">
        <f t="shared" si="26"/>
        <v>0</v>
      </c>
    </row>
    <row r="73" spans="1:20" x14ac:dyDescent="0.25">
      <c r="A73" s="4">
        <f t="shared" si="21"/>
        <v>0.75999999999999979</v>
      </c>
      <c r="B73" s="30">
        <f t="shared" si="27"/>
        <v>7884.6153846153802</v>
      </c>
      <c r="C73" s="30">
        <f t="shared" si="28"/>
        <v>145.91999999999979</v>
      </c>
      <c r="D73" s="30">
        <f t="shared" si="29"/>
        <v>161.91744340878802</v>
      </c>
      <c r="E73" s="39">
        <f t="shared" si="12"/>
        <v>1576.9230769230762</v>
      </c>
      <c r="F73" s="39">
        <f t="shared" si="13"/>
        <v>394.23076923076906</v>
      </c>
      <c r="G73" s="39">
        <f t="shared" si="14"/>
        <v>64.76697736351521</v>
      </c>
      <c r="H73" s="39">
        <f t="shared" si="15"/>
        <v>317.92533032879192</v>
      </c>
      <c r="I73" s="39">
        <f t="shared" si="16"/>
        <v>275.42957793194506</v>
      </c>
      <c r="J73" s="86">
        <f t="shared" si="3"/>
        <v>1</v>
      </c>
      <c r="K73" s="86">
        <f t="shared" si="17"/>
        <v>0</v>
      </c>
      <c r="L73" s="39">
        <f t="shared" si="18"/>
        <v>317.92533032879192</v>
      </c>
      <c r="M73" s="39">
        <f t="shared" si="19"/>
        <v>0</v>
      </c>
      <c r="N73" s="112">
        <f t="shared" si="20"/>
        <v>317.92533032879192</v>
      </c>
      <c r="P73">
        <f t="shared" si="22"/>
        <v>0</v>
      </c>
      <c r="Q73">
        <f t="shared" si="23"/>
        <v>0</v>
      </c>
      <c r="R73">
        <f t="shared" si="24"/>
        <v>0</v>
      </c>
      <c r="S73">
        <f t="shared" si="25"/>
        <v>0</v>
      </c>
      <c r="T73">
        <f t="shared" si="26"/>
        <v>0</v>
      </c>
    </row>
    <row r="74" spans="1:20" x14ac:dyDescent="0.25">
      <c r="A74" s="4">
        <f t="shared" si="21"/>
        <v>0.75499999999999978</v>
      </c>
      <c r="B74" s="30">
        <f t="shared" si="27"/>
        <v>7788.4615384615345</v>
      </c>
      <c r="C74" s="30">
        <f t="shared" si="28"/>
        <v>141.38624999999982</v>
      </c>
      <c r="D74" s="30">
        <f t="shared" si="29"/>
        <v>156.44614724961596</v>
      </c>
      <c r="E74" s="39">
        <f t="shared" si="12"/>
        <v>1557.6923076923069</v>
      </c>
      <c r="F74" s="39">
        <f t="shared" si="13"/>
        <v>389.42307692307674</v>
      </c>
      <c r="G74" s="39">
        <f t="shared" si="14"/>
        <v>62.578458899846389</v>
      </c>
      <c r="H74" s="39">
        <f t="shared" si="15"/>
        <v>305.69077186938398</v>
      </c>
      <c r="I74" s="39">
        <f t="shared" si="16"/>
        <v>275.42957793194506</v>
      </c>
      <c r="J74" s="86">
        <f t="shared" si="3"/>
        <v>1</v>
      </c>
      <c r="K74" s="86">
        <f t="shared" si="17"/>
        <v>0</v>
      </c>
      <c r="L74" s="39">
        <f t="shared" si="18"/>
        <v>305.69077186938398</v>
      </c>
      <c r="M74" s="39">
        <f t="shared" si="19"/>
        <v>0</v>
      </c>
      <c r="N74" s="112">
        <f t="shared" si="20"/>
        <v>305.69077186938398</v>
      </c>
      <c r="P74">
        <f t="shared" si="22"/>
        <v>0</v>
      </c>
      <c r="Q74">
        <f t="shared" si="23"/>
        <v>0</v>
      </c>
      <c r="R74">
        <f t="shared" si="24"/>
        <v>0</v>
      </c>
      <c r="S74">
        <f t="shared" si="25"/>
        <v>0</v>
      </c>
      <c r="T74">
        <f t="shared" si="26"/>
        <v>0</v>
      </c>
    </row>
    <row r="75" spans="1:20" x14ac:dyDescent="0.25">
      <c r="A75" s="4">
        <f t="shared" si="21"/>
        <v>0.74999999999999978</v>
      </c>
      <c r="B75" s="30">
        <f t="shared" si="27"/>
        <v>7692.307692307686</v>
      </c>
      <c r="C75" s="30">
        <f t="shared" si="28"/>
        <v>136.87499999999986</v>
      </c>
      <c r="D75" s="30">
        <f t="shared" si="29"/>
        <v>151.0344827586205</v>
      </c>
      <c r="E75" s="39">
        <f t="shared" si="12"/>
        <v>1538.4615384615372</v>
      </c>
      <c r="F75" s="39">
        <f t="shared" si="13"/>
        <v>384.6153846153843</v>
      </c>
      <c r="G75" s="39">
        <f t="shared" si="14"/>
        <v>60.413793103448199</v>
      </c>
      <c r="H75" s="39">
        <f t="shared" si="15"/>
        <v>293.43236074270476</v>
      </c>
      <c r="I75" s="39">
        <f t="shared" si="16"/>
        <v>275.42957793194506</v>
      </c>
      <c r="J75" s="86">
        <f t="shared" si="3"/>
        <v>1</v>
      </c>
      <c r="K75" s="86">
        <f t="shared" si="17"/>
        <v>0</v>
      </c>
      <c r="L75" s="39">
        <f t="shared" si="18"/>
        <v>293.43236074270476</v>
      </c>
      <c r="M75" s="39">
        <f t="shared" si="19"/>
        <v>0</v>
      </c>
      <c r="N75" s="112">
        <f t="shared" si="20"/>
        <v>293.43236074270476</v>
      </c>
      <c r="P75">
        <f t="shared" si="22"/>
        <v>0</v>
      </c>
      <c r="Q75">
        <f t="shared" si="23"/>
        <v>0</v>
      </c>
      <c r="R75">
        <f t="shared" si="24"/>
        <v>0</v>
      </c>
      <c r="S75">
        <f t="shared" si="25"/>
        <v>0</v>
      </c>
      <c r="T75">
        <f t="shared" si="26"/>
        <v>0</v>
      </c>
    </row>
    <row r="76" spans="1:20" x14ac:dyDescent="0.25">
      <c r="A76" s="4">
        <f t="shared" ref="A76:A125" si="30">A75-0.005</f>
        <v>0.74499999999999977</v>
      </c>
      <c r="B76" s="30">
        <f t="shared" ref="B76:B125" si="31">B$6*(MAX(0,U$5+U$6*A76+U$7*A76^2))</f>
        <v>7596.1538461538403</v>
      </c>
      <c r="C76" s="30">
        <f t="shared" ref="C76:C125" si="32">MAX(A76*S$17-S$18*(MIN(1,U$8+U$9*A76+U$10*A76^2))-S$19*(MIN(1,U$11+U$12*A76+U$13*A76^2)),0)</f>
        <v>132.38624999999973</v>
      </c>
      <c r="D76" s="30">
        <f t="shared" ref="D76:D125" si="33">C76/(MIN(1,U$14+U$15*A76+U$16*A76^2))</f>
        <v>145.68150868650156</v>
      </c>
      <c r="E76" s="39">
        <f t="shared" si="12"/>
        <v>1519.2307692307681</v>
      </c>
      <c r="F76" s="39">
        <f t="shared" si="13"/>
        <v>379.80769230769204</v>
      </c>
      <c r="G76" s="39">
        <f t="shared" si="14"/>
        <v>58.272603474600629</v>
      </c>
      <c r="H76" s="39">
        <f t="shared" si="15"/>
        <v>281.15047344847562</v>
      </c>
      <c r="I76" s="39">
        <f t="shared" si="16"/>
        <v>275.42957793194506</v>
      </c>
      <c r="J76" s="86">
        <f t="shared" si="3"/>
        <v>1</v>
      </c>
      <c r="K76" s="86">
        <f t="shared" si="17"/>
        <v>0</v>
      </c>
      <c r="L76" s="39">
        <f t="shared" si="18"/>
        <v>281.15047344847562</v>
      </c>
      <c r="M76" s="39">
        <f t="shared" si="19"/>
        <v>0</v>
      </c>
      <c r="N76" s="112">
        <f t="shared" si="20"/>
        <v>281.15047344847562</v>
      </c>
      <c r="P76">
        <f t="shared" si="22"/>
        <v>0</v>
      </c>
      <c r="Q76">
        <f t="shared" si="23"/>
        <v>0</v>
      </c>
      <c r="R76">
        <f t="shared" si="24"/>
        <v>0</v>
      </c>
      <c r="S76">
        <f t="shared" si="25"/>
        <v>0</v>
      </c>
      <c r="T76">
        <f t="shared" si="26"/>
        <v>0</v>
      </c>
    </row>
    <row r="77" spans="1:20" x14ac:dyDescent="0.25">
      <c r="A77" s="4">
        <f t="shared" si="30"/>
        <v>0.73999999999999977</v>
      </c>
      <c r="B77" s="30">
        <f t="shared" si="31"/>
        <v>7499.9999999999945</v>
      </c>
      <c r="C77" s="30">
        <f t="shared" si="32"/>
        <v>127.9199999999998</v>
      </c>
      <c r="D77" s="30">
        <f t="shared" si="33"/>
        <v>140.38630377524117</v>
      </c>
      <c r="E77" s="39">
        <f t="shared" si="12"/>
        <v>1499.9999999999991</v>
      </c>
      <c r="F77" s="39">
        <f t="shared" si="13"/>
        <v>374.99999999999977</v>
      </c>
      <c r="G77" s="39">
        <f t="shared" si="14"/>
        <v>56.154521510096473</v>
      </c>
      <c r="H77" s="39">
        <f t="shared" si="15"/>
        <v>268.84547848990292</v>
      </c>
      <c r="I77" s="39">
        <f t="shared" si="16"/>
        <v>275.42957793194506</v>
      </c>
      <c r="J77" s="86">
        <f t="shared" si="3"/>
        <v>1</v>
      </c>
      <c r="K77" s="86">
        <f t="shared" si="17"/>
        <v>0</v>
      </c>
      <c r="L77" s="39">
        <f t="shared" si="18"/>
        <v>268.84547848990292</v>
      </c>
      <c r="M77" s="39">
        <f t="shared" si="19"/>
        <v>0</v>
      </c>
      <c r="N77" s="112">
        <f t="shared" si="20"/>
        <v>268.84547848990292</v>
      </c>
      <c r="P77">
        <f t="shared" si="22"/>
        <v>0</v>
      </c>
      <c r="Q77">
        <f t="shared" si="23"/>
        <v>0</v>
      </c>
      <c r="R77">
        <f t="shared" si="24"/>
        <v>0</v>
      </c>
      <c r="S77">
        <f t="shared" si="25"/>
        <v>0</v>
      </c>
      <c r="T77">
        <f t="shared" si="26"/>
        <v>0</v>
      </c>
    </row>
    <row r="78" spans="1:20" x14ac:dyDescent="0.25">
      <c r="A78" s="4">
        <f t="shared" si="30"/>
        <v>0.73499999999999976</v>
      </c>
      <c r="B78" s="30">
        <f t="shared" si="31"/>
        <v>7403.8461538461488</v>
      </c>
      <c r="C78" s="30">
        <f t="shared" si="32"/>
        <v>123.47624999999977</v>
      </c>
      <c r="D78" s="30">
        <f t="shared" si="33"/>
        <v>135.14796623387258</v>
      </c>
      <c r="E78" s="39">
        <f t="shared" si="12"/>
        <v>1480.7692307692298</v>
      </c>
      <c r="F78" s="39">
        <f t="shared" si="13"/>
        <v>370.19230769230745</v>
      </c>
      <c r="G78" s="39">
        <f t="shared" si="14"/>
        <v>54.059186493549035</v>
      </c>
      <c r="H78" s="39">
        <f t="shared" si="15"/>
        <v>256.51773658337333</v>
      </c>
      <c r="I78" s="39">
        <f t="shared" si="16"/>
        <v>275.42957793194506</v>
      </c>
      <c r="J78" s="86">
        <f t="shared" si="3"/>
        <v>1</v>
      </c>
      <c r="K78" s="86">
        <f t="shared" si="17"/>
        <v>0</v>
      </c>
      <c r="L78" s="39">
        <f t="shared" si="18"/>
        <v>256.51773658337333</v>
      </c>
      <c r="M78" s="39">
        <f t="shared" si="19"/>
        <v>0</v>
      </c>
      <c r="N78" s="112">
        <f t="shared" si="20"/>
        <v>256.51773658337333</v>
      </c>
      <c r="P78">
        <f t="shared" si="22"/>
        <v>0</v>
      </c>
      <c r="Q78">
        <f t="shared" si="23"/>
        <v>0</v>
      </c>
      <c r="R78">
        <f t="shared" si="24"/>
        <v>0</v>
      </c>
      <c r="S78">
        <f t="shared" si="25"/>
        <v>0</v>
      </c>
      <c r="T78">
        <f t="shared" si="26"/>
        <v>0</v>
      </c>
    </row>
    <row r="79" spans="1:20" x14ac:dyDescent="0.25">
      <c r="A79" s="4">
        <f t="shared" si="30"/>
        <v>0.72999999999999976</v>
      </c>
      <c r="B79" s="30">
        <f t="shared" si="31"/>
        <v>7307.6923076923022</v>
      </c>
      <c r="C79" s="30">
        <f t="shared" si="32"/>
        <v>119.05499999999975</v>
      </c>
      <c r="D79" s="30">
        <f t="shared" si="33"/>
        <v>129.96561323071856</v>
      </c>
      <c r="E79" s="39">
        <f t="shared" si="12"/>
        <v>1461.5384615384605</v>
      </c>
      <c r="F79" s="39">
        <f t="shared" si="13"/>
        <v>365.38461538461513</v>
      </c>
      <c r="G79" s="39">
        <f t="shared" si="14"/>
        <v>51.986245292287428</v>
      </c>
      <c r="H79" s="39">
        <f t="shared" si="15"/>
        <v>244.16760086155796</v>
      </c>
      <c r="I79" s="39">
        <f t="shared" si="16"/>
        <v>275.42957793194506</v>
      </c>
      <c r="J79" s="86">
        <f t="shared" si="3"/>
        <v>1</v>
      </c>
      <c r="K79" s="86">
        <f t="shared" si="17"/>
        <v>0</v>
      </c>
      <c r="L79" s="39">
        <f t="shared" si="18"/>
        <v>244.16760086155796</v>
      </c>
      <c r="M79" s="39">
        <f t="shared" si="19"/>
        <v>0</v>
      </c>
      <c r="N79" s="112">
        <f t="shared" si="20"/>
        <v>244.16760086155796</v>
      </c>
      <c r="P79">
        <f t="shared" si="22"/>
        <v>0</v>
      </c>
      <c r="Q79">
        <f t="shared" si="23"/>
        <v>0</v>
      </c>
      <c r="R79">
        <f t="shared" si="24"/>
        <v>0</v>
      </c>
      <c r="S79">
        <f t="shared" si="25"/>
        <v>0</v>
      </c>
      <c r="T79">
        <f t="shared" si="26"/>
        <v>0</v>
      </c>
    </row>
    <row r="80" spans="1:20" x14ac:dyDescent="0.25">
      <c r="A80" s="4">
        <f t="shared" si="30"/>
        <v>0.72499999999999976</v>
      </c>
      <c r="B80" s="30">
        <f t="shared" si="31"/>
        <v>7211.5384615384564</v>
      </c>
      <c r="C80" s="30">
        <f t="shared" si="32"/>
        <v>114.65624999999982</v>
      </c>
      <c r="D80" s="30">
        <f t="shared" si="33"/>
        <v>124.83838040149691</v>
      </c>
      <c r="E80" s="39">
        <f t="shared" si="12"/>
        <v>1442.3076923076915</v>
      </c>
      <c r="F80" s="39">
        <f t="shared" si="13"/>
        <v>360.57692307692287</v>
      </c>
      <c r="G80" s="39">
        <f t="shared" si="14"/>
        <v>49.935352160598768</v>
      </c>
      <c r="H80" s="39">
        <f t="shared" si="15"/>
        <v>231.79541707016983</v>
      </c>
      <c r="I80" s="39">
        <f t="shared" si="16"/>
        <v>275.42957793194506</v>
      </c>
      <c r="J80" s="86">
        <f t="shared" si="3"/>
        <v>1</v>
      </c>
      <c r="K80" s="86">
        <f t="shared" si="17"/>
        <v>0</v>
      </c>
      <c r="L80" s="39">
        <f t="shared" si="18"/>
        <v>231.79541707016983</v>
      </c>
      <c r="M80" s="39">
        <f t="shared" si="19"/>
        <v>0</v>
      </c>
      <c r="N80" s="112">
        <f t="shared" si="20"/>
        <v>231.79541707016983</v>
      </c>
      <c r="P80">
        <f t="shared" si="22"/>
        <v>0</v>
      </c>
      <c r="Q80">
        <f t="shared" si="23"/>
        <v>0</v>
      </c>
      <c r="R80">
        <f t="shared" si="24"/>
        <v>0</v>
      </c>
      <c r="S80">
        <f t="shared" si="25"/>
        <v>0</v>
      </c>
      <c r="T80">
        <f t="shared" si="26"/>
        <v>0</v>
      </c>
    </row>
    <row r="81" spans="1:22" x14ac:dyDescent="0.25">
      <c r="A81" s="4">
        <f t="shared" si="30"/>
        <v>0.71999999999999975</v>
      </c>
      <c r="B81" s="30">
        <f t="shared" si="31"/>
        <v>7115.3846153846107</v>
      </c>
      <c r="C81" s="30">
        <f t="shared" si="32"/>
        <v>110.27999999999977</v>
      </c>
      <c r="D81" s="30">
        <f t="shared" si="33"/>
        <v>119.76542137271912</v>
      </c>
      <c r="E81" s="39">
        <f t="shared" si="12"/>
        <v>1423.0769230769222</v>
      </c>
      <c r="F81" s="39">
        <f t="shared" si="13"/>
        <v>355.76923076923055</v>
      </c>
      <c r="G81" s="39">
        <f t="shared" si="14"/>
        <v>47.906168549087653</v>
      </c>
      <c r="H81" s="39">
        <f t="shared" si="15"/>
        <v>219.40152375860407</v>
      </c>
      <c r="I81" s="39">
        <f t="shared" si="16"/>
        <v>275.42957793194506</v>
      </c>
      <c r="J81" s="86">
        <f t="shared" si="3"/>
        <v>1</v>
      </c>
      <c r="K81" s="86">
        <f t="shared" si="17"/>
        <v>0</v>
      </c>
      <c r="L81" s="39">
        <f t="shared" si="18"/>
        <v>219.40152375860407</v>
      </c>
      <c r="M81" s="39">
        <f t="shared" si="19"/>
        <v>0</v>
      </c>
      <c r="N81" s="112">
        <f t="shared" si="20"/>
        <v>219.40152375860407</v>
      </c>
      <c r="P81">
        <f t="shared" si="22"/>
        <v>0</v>
      </c>
      <c r="Q81">
        <f t="shared" si="23"/>
        <v>0</v>
      </c>
      <c r="R81">
        <f t="shared" si="24"/>
        <v>0</v>
      </c>
      <c r="S81">
        <f t="shared" si="25"/>
        <v>0</v>
      </c>
      <c r="T81">
        <f t="shared" si="26"/>
        <v>0</v>
      </c>
    </row>
    <row r="82" spans="1:22" x14ac:dyDescent="0.25">
      <c r="A82" s="4">
        <f t="shared" si="30"/>
        <v>0.71499999999999975</v>
      </c>
      <c r="B82" s="30">
        <f t="shared" si="31"/>
        <v>7019.2307692307622</v>
      </c>
      <c r="C82" s="30">
        <f t="shared" si="32"/>
        <v>105.92624999999973</v>
      </c>
      <c r="D82" s="30">
        <f t="shared" si="33"/>
        <v>114.74590729983314</v>
      </c>
      <c r="E82" s="39">
        <f t="shared" si="12"/>
        <v>1403.8461538461524</v>
      </c>
      <c r="F82" s="39">
        <f t="shared" si="13"/>
        <v>350.96153846153811</v>
      </c>
      <c r="G82" s="39">
        <f t="shared" si="14"/>
        <v>45.898362919933255</v>
      </c>
      <c r="H82" s="39">
        <f t="shared" si="15"/>
        <v>206.98625246468112</v>
      </c>
      <c r="I82" s="39">
        <f t="shared" si="16"/>
        <v>275.42957793194506</v>
      </c>
      <c r="J82" s="86">
        <f t="shared" si="3"/>
        <v>1</v>
      </c>
      <c r="K82" s="86">
        <f t="shared" si="17"/>
        <v>0</v>
      </c>
      <c r="L82" s="39">
        <f t="shared" si="18"/>
        <v>206.98625246468112</v>
      </c>
      <c r="M82" s="39">
        <f t="shared" si="19"/>
        <v>0</v>
      </c>
      <c r="N82" s="112">
        <f t="shared" si="20"/>
        <v>206.98625246468112</v>
      </c>
      <c r="P82">
        <f t="shared" si="22"/>
        <v>0</v>
      </c>
      <c r="Q82">
        <f t="shared" si="23"/>
        <v>0</v>
      </c>
      <c r="R82">
        <f t="shared" si="24"/>
        <v>0</v>
      </c>
      <c r="S82">
        <f t="shared" si="25"/>
        <v>0</v>
      </c>
      <c r="T82">
        <f t="shared" si="26"/>
        <v>0</v>
      </c>
    </row>
    <row r="83" spans="1:22" x14ac:dyDescent="0.25">
      <c r="A83" s="4">
        <f t="shared" si="30"/>
        <v>0.70999999999999974</v>
      </c>
      <c r="B83" s="30">
        <f t="shared" si="31"/>
        <v>6923.0769230769165</v>
      </c>
      <c r="C83" s="30">
        <f t="shared" si="32"/>
        <v>101.59499999999984</v>
      </c>
      <c r="D83" s="30">
        <f t="shared" si="33"/>
        <v>109.77902641957948</v>
      </c>
      <c r="E83" s="39">
        <f t="shared" si="12"/>
        <v>1384.6153846153834</v>
      </c>
      <c r="F83" s="39">
        <f t="shared" si="13"/>
        <v>346.15384615384585</v>
      </c>
      <c r="G83" s="39">
        <f t="shared" si="14"/>
        <v>43.911610567831794</v>
      </c>
      <c r="H83" s="39">
        <f t="shared" si="15"/>
        <v>194.5499278937059</v>
      </c>
      <c r="I83" s="39">
        <f t="shared" si="16"/>
        <v>275.42957793194506</v>
      </c>
      <c r="J83" s="86">
        <f t="shared" si="3"/>
        <v>1</v>
      </c>
      <c r="K83" s="86">
        <f t="shared" si="17"/>
        <v>0</v>
      </c>
      <c r="L83" s="39">
        <f t="shared" si="18"/>
        <v>194.5499278937059</v>
      </c>
      <c r="M83" s="39">
        <f t="shared" si="19"/>
        <v>0</v>
      </c>
      <c r="N83" s="112">
        <f t="shared" si="20"/>
        <v>194.5499278937059</v>
      </c>
      <c r="P83">
        <f t="shared" si="22"/>
        <v>0</v>
      </c>
      <c r="Q83">
        <f t="shared" si="23"/>
        <v>0</v>
      </c>
      <c r="R83">
        <f t="shared" si="24"/>
        <v>0</v>
      </c>
      <c r="S83">
        <f t="shared" si="25"/>
        <v>0</v>
      </c>
      <c r="T83">
        <f t="shared" si="26"/>
        <v>0</v>
      </c>
    </row>
    <row r="84" spans="1:22" x14ac:dyDescent="0.25">
      <c r="A84" s="4">
        <f t="shared" si="30"/>
        <v>0.70499999999999974</v>
      </c>
      <c r="B84" s="30">
        <f t="shared" si="31"/>
        <v>6826.9230769230708</v>
      </c>
      <c r="C84" s="30">
        <f t="shared" si="32"/>
        <v>97.286249999999711</v>
      </c>
      <c r="D84" s="30">
        <f t="shared" si="33"/>
        <v>104.86398361605485</v>
      </c>
      <c r="E84" s="39">
        <f t="shared" si="12"/>
        <v>1365.3846153846143</v>
      </c>
      <c r="F84" s="39">
        <f t="shared" si="13"/>
        <v>341.34615384615358</v>
      </c>
      <c r="G84" s="39">
        <f t="shared" si="14"/>
        <v>41.945593446421945</v>
      </c>
      <c r="H84" s="39">
        <f t="shared" si="15"/>
        <v>182.09286809203877</v>
      </c>
      <c r="I84" s="39">
        <f t="shared" si="16"/>
        <v>275.42957793194506</v>
      </c>
      <c r="J84" s="86">
        <f t="shared" si="3"/>
        <v>1</v>
      </c>
      <c r="K84" s="86">
        <f t="shared" si="17"/>
        <v>0</v>
      </c>
      <c r="L84" s="39">
        <f t="shared" si="18"/>
        <v>182.09286809203877</v>
      </c>
      <c r="M84" s="39">
        <f t="shared" si="19"/>
        <v>0</v>
      </c>
      <c r="N84" s="112">
        <f t="shared" si="20"/>
        <v>182.09286809203877</v>
      </c>
      <c r="P84">
        <f t="shared" si="22"/>
        <v>0</v>
      </c>
      <c r="Q84">
        <f t="shared" si="23"/>
        <v>0</v>
      </c>
      <c r="R84">
        <f t="shared" si="24"/>
        <v>0</v>
      </c>
      <c r="S84">
        <f t="shared" si="25"/>
        <v>0</v>
      </c>
      <c r="T84">
        <f t="shared" si="26"/>
        <v>0</v>
      </c>
    </row>
    <row r="85" spans="1:22" x14ac:dyDescent="0.25">
      <c r="A85" s="4">
        <f t="shared" si="30"/>
        <v>0.69999999999999973</v>
      </c>
      <c r="B85" s="30">
        <f t="shared" si="31"/>
        <v>6730.769230769225</v>
      </c>
      <c r="C85" s="30">
        <f t="shared" si="32"/>
        <v>92.999999999999744</v>
      </c>
      <c r="D85" s="30">
        <f t="shared" si="33"/>
        <v>99.999999999999716</v>
      </c>
      <c r="E85" s="39">
        <f t="shared" si="12"/>
        <v>1346.1538461538451</v>
      </c>
      <c r="F85" s="39">
        <f t="shared" si="13"/>
        <v>336.53846153846126</v>
      </c>
      <c r="G85" s="39">
        <f t="shared" si="14"/>
        <v>39.999999999999886</v>
      </c>
      <c r="H85" s="39">
        <f t="shared" si="15"/>
        <v>169.61538461538396</v>
      </c>
      <c r="I85" s="39">
        <f t="shared" si="16"/>
        <v>275.42957793194506</v>
      </c>
      <c r="J85" s="86">
        <f t="shared" si="3"/>
        <v>1</v>
      </c>
      <c r="K85" s="86">
        <f t="shared" si="17"/>
        <v>0</v>
      </c>
      <c r="L85" s="39">
        <f t="shared" si="18"/>
        <v>169.61538461538396</v>
      </c>
      <c r="M85" s="39">
        <f t="shared" si="19"/>
        <v>0</v>
      </c>
      <c r="N85" s="112">
        <f t="shared" si="20"/>
        <v>169.61538461538396</v>
      </c>
      <c r="P85">
        <f t="shared" si="22"/>
        <v>0</v>
      </c>
      <c r="Q85">
        <f t="shared" si="23"/>
        <v>0</v>
      </c>
      <c r="R85">
        <f t="shared" si="24"/>
        <v>0</v>
      </c>
      <c r="S85">
        <f t="shared" si="25"/>
        <v>0</v>
      </c>
      <c r="T85">
        <f t="shared" si="26"/>
        <v>0</v>
      </c>
    </row>
    <row r="86" spans="1:22" x14ac:dyDescent="0.25">
      <c r="A86" s="4">
        <f t="shared" si="30"/>
        <v>0.69499999999999973</v>
      </c>
      <c r="B86" s="30">
        <f t="shared" si="31"/>
        <v>6634.6153846153793</v>
      </c>
      <c r="C86" s="30">
        <f t="shared" si="32"/>
        <v>88.736249999999771</v>
      </c>
      <c r="D86" s="30">
        <f t="shared" si="33"/>
        <v>95.186312500837786</v>
      </c>
      <c r="E86" s="39">
        <f t="shared" si="12"/>
        <v>1326.923076923076</v>
      </c>
      <c r="F86" s="39">
        <f t="shared" si="13"/>
        <v>331.730769230769</v>
      </c>
      <c r="G86" s="39">
        <f t="shared" si="14"/>
        <v>38.074525000335115</v>
      </c>
      <c r="H86" s="39">
        <f t="shared" si="15"/>
        <v>157.1177826919718</v>
      </c>
      <c r="I86" s="39">
        <f t="shared" si="16"/>
        <v>275.42957793194506</v>
      </c>
      <c r="J86" s="86">
        <f t="shared" si="3"/>
        <v>1</v>
      </c>
      <c r="K86" s="86">
        <f t="shared" si="17"/>
        <v>0</v>
      </c>
      <c r="L86" s="39">
        <f t="shared" si="18"/>
        <v>157.1177826919718</v>
      </c>
      <c r="M86" s="39">
        <f t="shared" si="19"/>
        <v>0</v>
      </c>
      <c r="N86" s="112">
        <f t="shared" si="20"/>
        <v>157.1177826919718</v>
      </c>
      <c r="P86">
        <f t="shared" si="22"/>
        <v>0</v>
      </c>
      <c r="Q86">
        <f t="shared" si="23"/>
        <v>0</v>
      </c>
      <c r="R86">
        <f t="shared" si="24"/>
        <v>0</v>
      </c>
      <c r="S86">
        <f t="shared" si="25"/>
        <v>0</v>
      </c>
      <c r="T86">
        <f t="shared" si="26"/>
        <v>0</v>
      </c>
    </row>
    <row r="87" spans="1:22" x14ac:dyDescent="0.25">
      <c r="A87" s="4">
        <f t="shared" si="30"/>
        <v>0.68999999999999972</v>
      </c>
      <c r="B87" s="30">
        <f t="shared" si="31"/>
        <v>6538.4615384615336</v>
      </c>
      <c r="C87" s="30">
        <f t="shared" si="32"/>
        <v>84.494999999999763</v>
      </c>
      <c r="D87" s="30">
        <f t="shared" si="33"/>
        <v>90.422173471025488</v>
      </c>
      <c r="E87" s="39">
        <f t="shared" si="12"/>
        <v>1307.6923076923067</v>
      </c>
      <c r="F87" s="39">
        <f t="shared" si="13"/>
        <v>326.92307692307668</v>
      </c>
      <c r="G87" s="39">
        <f t="shared" si="14"/>
        <v>36.168869388410194</v>
      </c>
      <c r="H87" s="39">
        <f t="shared" si="15"/>
        <v>144.60036138081989</v>
      </c>
      <c r="I87" s="39">
        <f t="shared" si="16"/>
        <v>275.42957793194506</v>
      </c>
      <c r="J87" s="86">
        <f t="shared" si="3"/>
        <v>1</v>
      </c>
      <c r="K87" s="86">
        <f t="shared" si="17"/>
        <v>0</v>
      </c>
      <c r="L87" s="39">
        <f t="shared" si="18"/>
        <v>144.60036138081989</v>
      </c>
      <c r="M87" s="39">
        <f t="shared" si="19"/>
        <v>0</v>
      </c>
      <c r="N87" s="112">
        <f t="shared" si="20"/>
        <v>144.60036138081989</v>
      </c>
      <c r="P87">
        <f t="shared" si="22"/>
        <v>0</v>
      </c>
      <c r="Q87">
        <f t="shared" si="23"/>
        <v>0</v>
      </c>
      <c r="R87">
        <f t="shared" si="24"/>
        <v>0</v>
      </c>
      <c r="S87">
        <f t="shared" si="25"/>
        <v>0</v>
      </c>
      <c r="T87">
        <f t="shared" si="26"/>
        <v>0</v>
      </c>
    </row>
    <row r="88" spans="1:22" x14ac:dyDescent="0.25">
      <c r="A88" s="4">
        <f t="shared" si="30"/>
        <v>0.68499999999999972</v>
      </c>
      <c r="B88" s="30">
        <f t="shared" si="31"/>
        <v>6442.3076923076878</v>
      </c>
      <c r="C88" s="30">
        <f t="shared" si="32"/>
        <v>80.27624999999982</v>
      </c>
      <c r="D88" s="30">
        <f t="shared" si="33"/>
        <v>85.706850302277886</v>
      </c>
      <c r="E88" s="39">
        <f t="shared" si="12"/>
        <v>1288.4615384615377</v>
      </c>
      <c r="F88" s="39">
        <f t="shared" si="13"/>
        <v>322.11538461538441</v>
      </c>
      <c r="G88" s="39">
        <f t="shared" si="14"/>
        <v>34.282740120911157</v>
      </c>
      <c r="H88" s="39">
        <f t="shared" si="15"/>
        <v>132.06341372524207</v>
      </c>
      <c r="I88" s="39">
        <f t="shared" si="16"/>
        <v>275.42957793194506</v>
      </c>
      <c r="J88" s="86">
        <f t="shared" si="3"/>
        <v>1</v>
      </c>
      <c r="K88" s="86">
        <f t="shared" si="17"/>
        <v>0</v>
      </c>
      <c r="L88" s="39">
        <f t="shared" si="18"/>
        <v>132.06341372524207</v>
      </c>
      <c r="M88" s="39">
        <f t="shared" si="19"/>
        <v>0</v>
      </c>
      <c r="N88" s="112">
        <f t="shared" si="20"/>
        <v>132.06341372524207</v>
      </c>
      <c r="P88">
        <f t="shared" si="22"/>
        <v>0</v>
      </c>
      <c r="Q88">
        <f t="shared" si="23"/>
        <v>0</v>
      </c>
      <c r="R88">
        <f t="shared" si="24"/>
        <v>0</v>
      </c>
      <c r="S88">
        <f t="shared" si="25"/>
        <v>0</v>
      </c>
      <c r="T88">
        <f t="shared" si="26"/>
        <v>0</v>
      </c>
    </row>
    <row r="89" spans="1:22" x14ac:dyDescent="0.25">
      <c r="A89" s="4">
        <f t="shared" si="30"/>
        <v>0.67999999999999972</v>
      </c>
      <c r="B89" s="30">
        <f t="shared" si="31"/>
        <v>6346.1538461538385</v>
      </c>
      <c r="C89" s="30">
        <f t="shared" si="32"/>
        <v>76.079999999999728</v>
      </c>
      <c r="D89" s="30">
        <f t="shared" si="33"/>
        <v>81.039625053259186</v>
      </c>
      <c r="E89" s="39">
        <f t="shared" si="12"/>
        <v>1269.2307692307677</v>
      </c>
      <c r="F89" s="39">
        <f t="shared" si="13"/>
        <v>317.30769230769192</v>
      </c>
      <c r="G89" s="39">
        <f t="shared" si="14"/>
        <v>32.415850021303676</v>
      </c>
      <c r="H89" s="39">
        <f t="shared" si="15"/>
        <v>119.50722690177213</v>
      </c>
      <c r="I89" s="39">
        <f t="shared" si="16"/>
        <v>275.42957793194506</v>
      </c>
      <c r="J89" s="86">
        <f t="shared" si="3"/>
        <v>1</v>
      </c>
      <c r="K89" s="86">
        <f t="shared" si="17"/>
        <v>0</v>
      </c>
      <c r="L89" s="39">
        <f t="shared" si="18"/>
        <v>119.50722690177213</v>
      </c>
      <c r="M89" s="39">
        <f t="shared" si="19"/>
        <v>0</v>
      </c>
      <c r="N89" s="112">
        <f t="shared" si="20"/>
        <v>119.50722690177213</v>
      </c>
      <c r="P89">
        <f t="shared" ref="P89:P125" si="34">IF($N89=$V$92,D89,0)</f>
        <v>0</v>
      </c>
      <c r="Q89">
        <f t="shared" ref="Q89:Q125" si="35">IF(N89=V$92,A89,0)</f>
        <v>0</v>
      </c>
      <c r="R89">
        <f t="shared" ref="R89:R125" si="36">IF($N89=$V$92,J89,0)</f>
        <v>0</v>
      </c>
      <c r="S89">
        <f t="shared" ref="S89:S125" si="37">IF($L89=$V$93,A89,0)</f>
        <v>0</v>
      </c>
      <c r="T89">
        <f t="shared" ref="T89:T125" si="38">IF($L89=$V$93,J89,0)</f>
        <v>0</v>
      </c>
    </row>
    <row r="90" spans="1:22" x14ac:dyDescent="0.25">
      <c r="A90" s="4">
        <f t="shared" si="30"/>
        <v>0.67499999999999971</v>
      </c>
      <c r="B90" s="30">
        <f t="shared" si="31"/>
        <v>6249.9999999999927</v>
      </c>
      <c r="C90" s="30">
        <f t="shared" si="32"/>
        <v>71.906249999999758</v>
      </c>
      <c r="D90" s="30">
        <f t="shared" si="33"/>
        <v>76.419794088342471</v>
      </c>
      <c r="E90" s="39">
        <f t="shared" ref="E90:E125" si="39">E$6*B90</f>
        <v>1249.9999999999986</v>
      </c>
      <c r="F90" s="39">
        <f t="shared" ref="F90:F125" si="40">F$6*B90</f>
        <v>312.49999999999966</v>
      </c>
      <c r="G90" s="39">
        <f t="shared" ref="G90:G125" si="41">G$6*10*D90</f>
        <v>30.56791763533699</v>
      </c>
      <c r="H90" s="39">
        <f t="shared" ref="H90:H125" si="42">E90-F90-G90-H$6</f>
        <v>106.93208236466194</v>
      </c>
      <c r="I90" s="39">
        <f t="shared" ref="I90:I125" si="43">I$20-I$21-J$6</f>
        <v>275.42957793194506</v>
      </c>
      <c r="J90" s="86">
        <f t="shared" ref="J90:J125" si="44">IF(OR(D90/C$6&lt;1,D90=0), 1, C$6/D90)</f>
        <v>1</v>
      </c>
      <c r="K90" s="86">
        <f t="shared" ref="K90:K125" si="45">1-J90</f>
        <v>0</v>
      </c>
      <c r="L90" s="39">
        <f t="shared" ref="L90:L125" si="46">H90*J90</f>
        <v>106.93208236466194</v>
      </c>
      <c r="M90" s="39">
        <f t="shared" ref="M90:M125" si="47">I90*K90</f>
        <v>0</v>
      </c>
      <c r="N90" s="112">
        <f t="shared" ref="N90:N125" si="48">L90+M90</f>
        <v>106.93208236466194</v>
      </c>
      <c r="P90">
        <f t="shared" si="34"/>
        <v>0</v>
      </c>
      <c r="Q90">
        <f t="shared" si="35"/>
        <v>0</v>
      </c>
      <c r="R90">
        <f t="shared" si="36"/>
        <v>0</v>
      </c>
      <c r="S90">
        <f t="shared" si="37"/>
        <v>0</v>
      </c>
      <c r="T90">
        <f t="shared" si="38"/>
        <v>0</v>
      </c>
    </row>
    <row r="91" spans="1:22" x14ac:dyDescent="0.25">
      <c r="A91" s="4">
        <f t="shared" si="30"/>
        <v>0.66999999999999971</v>
      </c>
      <c r="B91" s="30">
        <f t="shared" si="31"/>
        <v>6153.846153846147</v>
      </c>
      <c r="C91" s="30">
        <f t="shared" si="32"/>
        <v>67.754999999999811</v>
      </c>
      <c r="D91" s="30">
        <f t="shared" si="33"/>
        <v>71.846667727055618</v>
      </c>
      <c r="E91" s="39">
        <f t="shared" si="39"/>
        <v>1230.7692307692296</v>
      </c>
      <c r="F91" s="39">
        <f t="shared" si="40"/>
        <v>307.69230769230739</v>
      </c>
      <c r="G91" s="39">
        <f t="shared" si="41"/>
        <v>28.738667090822247</v>
      </c>
      <c r="H91" s="39">
        <f t="shared" si="42"/>
        <v>94.338255986099966</v>
      </c>
      <c r="I91" s="39">
        <f t="shared" si="43"/>
        <v>275.42957793194506</v>
      </c>
      <c r="J91" s="86">
        <f t="shared" si="44"/>
        <v>1</v>
      </c>
      <c r="K91" s="86">
        <f t="shared" si="45"/>
        <v>0</v>
      </c>
      <c r="L91" s="39">
        <f t="shared" si="46"/>
        <v>94.338255986099966</v>
      </c>
      <c r="M91" s="39">
        <f t="shared" si="47"/>
        <v>0</v>
      </c>
      <c r="N91" s="112">
        <f t="shared" si="48"/>
        <v>94.338255986099966</v>
      </c>
      <c r="P91">
        <f t="shared" si="34"/>
        <v>0</v>
      </c>
      <c r="Q91">
        <f t="shared" si="35"/>
        <v>0</v>
      </c>
      <c r="R91">
        <f t="shared" si="36"/>
        <v>0</v>
      </c>
      <c r="S91">
        <f t="shared" si="37"/>
        <v>0</v>
      </c>
      <c r="T91">
        <f t="shared" si="38"/>
        <v>0</v>
      </c>
      <c r="U91" s="2" t="s">
        <v>109</v>
      </c>
    </row>
    <row r="92" spans="1:22" x14ac:dyDescent="0.25">
      <c r="A92" s="4">
        <f t="shared" si="30"/>
        <v>0.6649999999999997</v>
      </c>
      <c r="B92" s="30">
        <f t="shared" si="31"/>
        <v>6057.6923076923013</v>
      </c>
      <c r="C92" s="30">
        <f t="shared" si="32"/>
        <v>63.626249999999743</v>
      </c>
      <c r="D92" s="30">
        <f t="shared" si="33"/>
        <v>67.319569903849683</v>
      </c>
      <c r="E92" s="39">
        <f t="shared" si="39"/>
        <v>1211.5384615384603</v>
      </c>
      <c r="F92" s="39">
        <f t="shared" si="40"/>
        <v>302.88461538461507</v>
      </c>
      <c r="G92" s="39">
        <f t="shared" si="41"/>
        <v>26.927827961539876</v>
      </c>
      <c r="H92" s="39">
        <f t="shared" si="42"/>
        <v>81.726018192305446</v>
      </c>
      <c r="I92" s="39">
        <f t="shared" si="43"/>
        <v>275.42957793194506</v>
      </c>
      <c r="J92" s="86">
        <f t="shared" si="44"/>
        <v>1</v>
      </c>
      <c r="K92" s="86">
        <f t="shared" si="45"/>
        <v>0</v>
      </c>
      <c r="L92" s="39">
        <f t="shared" si="46"/>
        <v>81.726018192305446</v>
      </c>
      <c r="M92" s="39">
        <f t="shared" si="47"/>
        <v>0</v>
      </c>
      <c r="N92" s="112">
        <f t="shared" si="48"/>
        <v>81.726018192305446</v>
      </c>
      <c r="P92">
        <f t="shared" si="34"/>
        <v>0</v>
      </c>
      <c r="Q92">
        <f t="shared" si="35"/>
        <v>0</v>
      </c>
      <c r="R92">
        <f t="shared" si="36"/>
        <v>0</v>
      </c>
      <c r="S92">
        <f t="shared" si="37"/>
        <v>0</v>
      </c>
      <c r="T92">
        <f t="shared" si="38"/>
        <v>0</v>
      </c>
      <c r="U92" s="3" t="s">
        <v>108</v>
      </c>
      <c r="V92" s="92">
        <f>MAX(N25:N125)</f>
        <v>618.49246612664217</v>
      </c>
    </row>
    <row r="93" spans="1:22" x14ac:dyDescent="0.25">
      <c r="A93" s="4">
        <f t="shared" si="30"/>
        <v>0.6599999999999997</v>
      </c>
      <c r="B93" s="30">
        <f t="shared" si="31"/>
        <v>5961.5384615384555</v>
      </c>
      <c r="C93" s="30">
        <f t="shared" si="32"/>
        <v>59.519999999999712</v>
      </c>
      <c r="D93" s="30">
        <f t="shared" si="33"/>
        <v>62.837837837837519</v>
      </c>
      <c r="E93" s="39">
        <f t="shared" si="39"/>
        <v>1192.3076923076912</v>
      </c>
      <c r="F93" s="39">
        <f t="shared" si="40"/>
        <v>298.07692307692281</v>
      </c>
      <c r="G93" s="39">
        <f t="shared" si="41"/>
        <v>25.135135135135009</v>
      </c>
      <c r="H93" s="39">
        <f t="shared" si="42"/>
        <v>69.095634095633386</v>
      </c>
      <c r="I93" s="39">
        <f t="shared" si="43"/>
        <v>275.42957793194506</v>
      </c>
      <c r="J93" s="86">
        <f t="shared" si="44"/>
        <v>1</v>
      </c>
      <c r="K93" s="86">
        <f t="shared" si="45"/>
        <v>0</v>
      </c>
      <c r="L93" s="39">
        <f t="shared" si="46"/>
        <v>69.095634095633386</v>
      </c>
      <c r="M93" s="39">
        <f t="shared" si="47"/>
        <v>0</v>
      </c>
      <c r="N93" s="112">
        <f t="shared" si="48"/>
        <v>69.095634095633386</v>
      </c>
      <c r="P93">
        <f t="shared" si="34"/>
        <v>0</v>
      </c>
      <c r="Q93">
        <f t="shared" si="35"/>
        <v>0</v>
      </c>
      <c r="R93">
        <f t="shared" si="36"/>
        <v>0</v>
      </c>
      <c r="S93">
        <f t="shared" si="37"/>
        <v>0</v>
      </c>
      <c r="T93">
        <f t="shared" si="38"/>
        <v>0</v>
      </c>
      <c r="U93" s="136" t="s">
        <v>132</v>
      </c>
      <c r="V93" s="137">
        <f>MAX(L25:L125)</f>
        <v>580.17162266849368</v>
      </c>
    </row>
    <row r="94" spans="1:22" ht="18" x14ac:dyDescent="0.35">
      <c r="A94" s="4">
        <f t="shared" si="30"/>
        <v>0.65499999999999969</v>
      </c>
      <c r="B94" s="30">
        <f t="shared" si="31"/>
        <v>5865.3846153846098</v>
      </c>
      <c r="C94" s="30">
        <f t="shared" si="32"/>
        <v>55.436249999999745</v>
      </c>
      <c r="D94" s="30">
        <f t="shared" si="33"/>
        <v>58.400821712163435</v>
      </c>
      <c r="E94" s="39">
        <f t="shared" si="39"/>
        <v>1173.076923076922</v>
      </c>
      <c r="F94" s="39">
        <f t="shared" si="40"/>
        <v>293.26923076923049</v>
      </c>
      <c r="G94" s="39">
        <f t="shared" si="41"/>
        <v>23.360328684865376</v>
      </c>
      <c r="H94" s="39">
        <f t="shared" si="42"/>
        <v>56.44736362282606</v>
      </c>
      <c r="I94" s="39">
        <f t="shared" si="43"/>
        <v>275.42957793194506</v>
      </c>
      <c r="J94" s="86">
        <f t="shared" si="44"/>
        <v>1</v>
      </c>
      <c r="K94" s="86">
        <f t="shared" si="45"/>
        <v>0</v>
      </c>
      <c r="L94" s="39">
        <f t="shared" si="46"/>
        <v>56.44736362282606</v>
      </c>
      <c r="M94" s="39">
        <f t="shared" si="47"/>
        <v>0</v>
      </c>
      <c r="N94" s="112">
        <f t="shared" si="48"/>
        <v>56.44736362282606</v>
      </c>
      <c r="P94">
        <f t="shared" si="34"/>
        <v>0</v>
      </c>
      <c r="Q94">
        <f t="shared" si="35"/>
        <v>0</v>
      </c>
      <c r="R94">
        <f t="shared" si="36"/>
        <v>0</v>
      </c>
      <c r="S94">
        <f t="shared" si="37"/>
        <v>0</v>
      </c>
      <c r="T94">
        <f t="shared" si="38"/>
        <v>0</v>
      </c>
      <c r="U94" s="23" t="s">
        <v>67</v>
      </c>
      <c r="V94" s="8">
        <f>MAX(Q25:Q125)</f>
        <v>0.97499999999999998</v>
      </c>
    </row>
    <row r="95" spans="1:22" x14ac:dyDescent="0.25">
      <c r="A95" s="4">
        <f t="shared" si="30"/>
        <v>0.64999999999999969</v>
      </c>
      <c r="B95" s="30">
        <f t="shared" si="31"/>
        <v>5769.2307692307622</v>
      </c>
      <c r="C95" s="30">
        <f t="shared" si="32"/>
        <v>51.374999999999744</v>
      </c>
      <c r="D95" s="30">
        <f t="shared" si="33"/>
        <v>54.007884362680414</v>
      </c>
      <c r="E95" s="39">
        <f t="shared" si="39"/>
        <v>1153.8461538461524</v>
      </c>
      <c r="F95" s="39">
        <f t="shared" si="40"/>
        <v>288.46153846153811</v>
      </c>
      <c r="G95" s="39">
        <f t="shared" si="41"/>
        <v>21.603153745072166</v>
      </c>
      <c r="H95" s="39">
        <f t="shared" si="42"/>
        <v>43.781461639542158</v>
      </c>
      <c r="I95" s="39">
        <f t="shared" si="43"/>
        <v>275.42957793194506</v>
      </c>
      <c r="J95" s="86">
        <f t="shared" si="44"/>
        <v>1</v>
      </c>
      <c r="K95" s="86">
        <f t="shared" si="45"/>
        <v>0</v>
      </c>
      <c r="L95" s="39">
        <f t="shared" si="46"/>
        <v>43.781461639542158</v>
      </c>
      <c r="M95" s="39">
        <f t="shared" si="47"/>
        <v>0</v>
      </c>
      <c r="N95" s="112">
        <f t="shared" si="48"/>
        <v>43.781461639542158</v>
      </c>
      <c r="P95">
        <f t="shared" si="34"/>
        <v>0</v>
      </c>
      <c r="Q95">
        <f t="shared" si="35"/>
        <v>0</v>
      </c>
      <c r="R95">
        <f t="shared" si="36"/>
        <v>0</v>
      </c>
      <c r="S95">
        <f t="shared" si="37"/>
        <v>0</v>
      </c>
      <c r="T95">
        <f t="shared" si="38"/>
        <v>0</v>
      </c>
      <c r="U95" s="23" t="s">
        <v>178</v>
      </c>
      <c r="V95" s="134">
        <f>MAX(R25:R125)</f>
        <v>0.63655190266632133</v>
      </c>
    </row>
    <row r="96" spans="1:22" ht="18" x14ac:dyDescent="0.35">
      <c r="A96" s="4">
        <f t="shared" si="30"/>
        <v>0.64499999999999968</v>
      </c>
      <c r="B96" s="30">
        <f t="shared" si="31"/>
        <v>5673.0769230769165</v>
      </c>
      <c r="C96" s="30">
        <f t="shared" si="32"/>
        <v>47.336249999999808</v>
      </c>
      <c r="D96" s="30">
        <f t="shared" si="33"/>
        <v>49.658400975622342</v>
      </c>
      <c r="E96" s="39">
        <f t="shared" si="39"/>
        <v>1134.6153846153834</v>
      </c>
      <c r="F96" s="39">
        <f t="shared" si="40"/>
        <v>283.65384615384585</v>
      </c>
      <c r="G96" s="39">
        <f t="shared" si="41"/>
        <v>19.863360390248939</v>
      </c>
      <c r="H96" s="39">
        <f t="shared" si="42"/>
        <v>31.098178071288658</v>
      </c>
      <c r="I96" s="39">
        <f t="shared" si="43"/>
        <v>275.42957793194506</v>
      </c>
      <c r="J96" s="86">
        <f t="shared" si="44"/>
        <v>1</v>
      </c>
      <c r="K96" s="86">
        <f t="shared" si="45"/>
        <v>0</v>
      </c>
      <c r="L96" s="39">
        <f t="shared" si="46"/>
        <v>31.098178071288658</v>
      </c>
      <c r="M96" s="39">
        <f t="shared" si="47"/>
        <v>0</v>
      </c>
      <c r="N96" s="112">
        <f t="shared" si="48"/>
        <v>31.098178071288658</v>
      </c>
      <c r="P96">
        <f t="shared" si="34"/>
        <v>0</v>
      </c>
      <c r="Q96">
        <f t="shared" si="35"/>
        <v>0</v>
      </c>
      <c r="R96">
        <f t="shared" si="36"/>
        <v>0</v>
      </c>
      <c r="S96">
        <f t="shared" si="37"/>
        <v>0</v>
      </c>
      <c r="T96">
        <f t="shared" si="38"/>
        <v>0</v>
      </c>
      <c r="U96" s="135" t="s">
        <v>224</v>
      </c>
      <c r="V96" s="26">
        <f>MAX(P25:P125)</f>
        <v>471.28914192761295</v>
      </c>
    </row>
    <row r="97" spans="1:22" x14ac:dyDescent="0.25">
      <c r="A97" s="4">
        <f t="shared" si="30"/>
        <v>0.63999999999999968</v>
      </c>
      <c r="B97" s="30">
        <f t="shared" si="31"/>
        <v>5576.9230769230699</v>
      </c>
      <c r="C97" s="30">
        <f t="shared" si="32"/>
        <v>43.319999999999709</v>
      </c>
      <c r="D97" s="30">
        <f t="shared" si="33"/>
        <v>45.351758793969537</v>
      </c>
      <c r="E97" s="39">
        <f t="shared" si="39"/>
        <v>1115.3846153846141</v>
      </c>
      <c r="F97" s="39">
        <f t="shared" si="40"/>
        <v>278.84615384615353</v>
      </c>
      <c r="G97" s="39">
        <f t="shared" si="41"/>
        <v>18.140703517587816</v>
      </c>
      <c r="H97" s="39">
        <f t="shared" si="42"/>
        <v>18.397758020872743</v>
      </c>
      <c r="I97" s="39">
        <f t="shared" si="43"/>
        <v>275.42957793194506</v>
      </c>
      <c r="J97" s="86">
        <f t="shared" si="44"/>
        <v>1</v>
      </c>
      <c r="K97" s="86">
        <f t="shared" si="45"/>
        <v>0</v>
      </c>
      <c r="L97" s="39">
        <f t="shared" si="46"/>
        <v>18.397758020872743</v>
      </c>
      <c r="M97" s="39">
        <f t="shared" si="47"/>
        <v>0</v>
      </c>
      <c r="N97" s="112">
        <f t="shared" si="48"/>
        <v>18.397758020872743</v>
      </c>
      <c r="P97">
        <f t="shared" si="34"/>
        <v>0</v>
      </c>
      <c r="Q97">
        <f t="shared" si="35"/>
        <v>0</v>
      </c>
      <c r="R97">
        <f t="shared" si="36"/>
        <v>0</v>
      </c>
      <c r="S97">
        <f t="shared" si="37"/>
        <v>0</v>
      </c>
      <c r="T97">
        <f t="shared" si="38"/>
        <v>0</v>
      </c>
      <c r="U97" s="133"/>
    </row>
    <row r="98" spans="1:22" x14ac:dyDescent="0.25">
      <c r="A98" s="4">
        <f t="shared" si="30"/>
        <v>0.63499999999999968</v>
      </c>
      <c r="B98" s="30">
        <f t="shared" si="31"/>
        <v>5480.7692307692241</v>
      </c>
      <c r="C98" s="30">
        <f t="shared" si="32"/>
        <v>39.326249999999746</v>
      </c>
      <c r="D98" s="30">
        <f t="shared" si="33"/>
        <v>41.087356832220799</v>
      </c>
      <c r="E98" s="39">
        <f t="shared" si="39"/>
        <v>1096.1538461538448</v>
      </c>
      <c r="F98" s="39">
        <f t="shared" si="40"/>
        <v>274.03846153846121</v>
      </c>
      <c r="G98" s="39">
        <f t="shared" si="41"/>
        <v>16.43494273288832</v>
      </c>
      <c r="H98" s="39">
        <f t="shared" si="42"/>
        <v>5.6804418824953018</v>
      </c>
      <c r="I98" s="39">
        <f t="shared" si="43"/>
        <v>275.42957793194506</v>
      </c>
      <c r="J98" s="86">
        <f t="shared" si="44"/>
        <v>1</v>
      </c>
      <c r="K98" s="86">
        <f t="shared" si="45"/>
        <v>0</v>
      </c>
      <c r="L98" s="39">
        <f t="shared" si="46"/>
        <v>5.6804418824953018</v>
      </c>
      <c r="M98" s="39">
        <f t="shared" si="47"/>
        <v>0</v>
      </c>
      <c r="N98" s="112">
        <f t="shared" si="48"/>
        <v>5.6804418824953018</v>
      </c>
      <c r="P98">
        <f t="shared" si="34"/>
        <v>0</v>
      </c>
      <c r="Q98">
        <f t="shared" si="35"/>
        <v>0</v>
      </c>
      <c r="R98">
        <f t="shared" si="36"/>
        <v>0</v>
      </c>
      <c r="S98">
        <f t="shared" si="37"/>
        <v>0</v>
      </c>
      <c r="T98">
        <f t="shared" si="38"/>
        <v>0</v>
      </c>
      <c r="U98" s="50"/>
      <c r="V98" s="25"/>
    </row>
    <row r="99" spans="1:22" x14ac:dyDescent="0.25">
      <c r="A99" s="4">
        <f t="shared" si="30"/>
        <v>0.62999999999999967</v>
      </c>
      <c r="B99" s="30">
        <f t="shared" si="31"/>
        <v>5384.6153846153784</v>
      </c>
      <c r="C99" s="30">
        <f t="shared" si="32"/>
        <v>35.354999999999805</v>
      </c>
      <c r="D99" s="30">
        <f t="shared" si="33"/>
        <v>36.864605599290755</v>
      </c>
      <c r="E99" s="39">
        <f t="shared" si="39"/>
        <v>1076.9230769230758</v>
      </c>
      <c r="F99" s="39">
        <f t="shared" si="40"/>
        <v>269.23076923076894</v>
      </c>
      <c r="G99" s="39">
        <f t="shared" si="41"/>
        <v>14.745842239716303</v>
      </c>
      <c r="H99" s="39">
        <f t="shared" si="42"/>
        <v>-7.0535345474095266</v>
      </c>
      <c r="I99" s="39">
        <f t="shared" si="43"/>
        <v>275.42957793194506</v>
      </c>
      <c r="J99" s="86">
        <f t="shared" si="44"/>
        <v>1</v>
      </c>
      <c r="K99" s="86">
        <f t="shared" si="45"/>
        <v>0</v>
      </c>
      <c r="L99" s="39">
        <f t="shared" si="46"/>
        <v>-7.0535345474095266</v>
      </c>
      <c r="M99" s="39">
        <f t="shared" si="47"/>
        <v>0</v>
      </c>
      <c r="N99" s="112">
        <f t="shared" si="48"/>
        <v>-7.0535345474095266</v>
      </c>
      <c r="P99">
        <f t="shared" si="34"/>
        <v>0</v>
      </c>
      <c r="Q99">
        <f t="shared" si="35"/>
        <v>0</v>
      </c>
      <c r="R99">
        <f t="shared" si="36"/>
        <v>0</v>
      </c>
      <c r="S99">
        <f t="shared" si="37"/>
        <v>0</v>
      </c>
      <c r="T99">
        <f t="shared" si="38"/>
        <v>0</v>
      </c>
      <c r="U99" s="15"/>
      <c r="V99" s="12"/>
    </row>
    <row r="100" spans="1:22" x14ac:dyDescent="0.25">
      <c r="A100" s="4">
        <f t="shared" si="30"/>
        <v>0.62499999999999967</v>
      </c>
      <c r="B100" s="30">
        <f t="shared" si="31"/>
        <v>5288.4615384615308</v>
      </c>
      <c r="C100" s="30">
        <f t="shared" si="32"/>
        <v>31.406249999999687</v>
      </c>
      <c r="D100" s="30">
        <f t="shared" si="33"/>
        <v>32.682926829267963</v>
      </c>
      <c r="E100" s="39">
        <f t="shared" si="39"/>
        <v>1057.6923076923063</v>
      </c>
      <c r="F100" s="39">
        <f t="shared" si="40"/>
        <v>264.42307692307656</v>
      </c>
      <c r="G100" s="39">
        <f t="shared" si="41"/>
        <v>13.073170731707187</v>
      </c>
      <c r="H100" s="39">
        <f t="shared" si="42"/>
        <v>-19.803939962477443</v>
      </c>
      <c r="I100" s="39">
        <f t="shared" si="43"/>
        <v>275.42957793194506</v>
      </c>
      <c r="J100" s="86">
        <f t="shared" si="44"/>
        <v>1</v>
      </c>
      <c r="K100" s="86">
        <f t="shared" si="45"/>
        <v>0</v>
      </c>
      <c r="L100" s="39">
        <f t="shared" si="46"/>
        <v>-19.803939962477443</v>
      </c>
      <c r="M100" s="39">
        <f t="shared" si="47"/>
        <v>0</v>
      </c>
      <c r="N100" s="112">
        <f t="shared" si="48"/>
        <v>-19.803939962477443</v>
      </c>
      <c r="P100">
        <f t="shared" si="34"/>
        <v>0</v>
      </c>
      <c r="Q100">
        <f t="shared" si="35"/>
        <v>0</v>
      </c>
      <c r="R100">
        <f t="shared" si="36"/>
        <v>0</v>
      </c>
      <c r="S100">
        <f t="shared" si="37"/>
        <v>0</v>
      </c>
      <c r="T100">
        <f t="shared" si="38"/>
        <v>0</v>
      </c>
      <c r="U100" s="15"/>
      <c r="V100" s="79"/>
    </row>
    <row r="101" spans="1:22" x14ac:dyDescent="0.25">
      <c r="A101" s="4">
        <f t="shared" si="30"/>
        <v>0.61999999999999966</v>
      </c>
      <c r="B101" s="30">
        <f t="shared" si="31"/>
        <v>5192.3076923076851</v>
      </c>
      <c r="C101" s="30">
        <f t="shared" si="32"/>
        <v>27.479999999999777</v>
      </c>
      <c r="D101" s="30">
        <f t="shared" si="33"/>
        <v>28.541753219775423</v>
      </c>
      <c r="E101" s="39">
        <f t="shared" si="39"/>
        <v>1038.461538461537</v>
      </c>
      <c r="F101" s="39">
        <f t="shared" si="40"/>
        <v>259.61538461538424</v>
      </c>
      <c r="G101" s="39">
        <f t="shared" si="41"/>
        <v>11.41670128791017</v>
      </c>
      <c r="H101" s="39">
        <f t="shared" si="42"/>
        <v>-32.570547441757526</v>
      </c>
      <c r="I101" s="39">
        <f t="shared" si="43"/>
        <v>275.42957793194506</v>
      </c>
      <c r="J101" s="86">
        <f t="shared" si="44"/>
        <v>1</v>
      </c>
      <c r="K101" s="86">
        <f t="shared" si="45"/>
        <v>0</v>
      </c>
      <c r="L101" s="39">
        <f t="shared" si="46"/>
        <v>-32.570547441757526</v>
      </c>
      <c r="M101" s="39">
        <f t="shared" si="47"/>
        <v>0</v>
      </c>
      <c r="N101" s="112">
        <f t="shared" si="48"/>
        <v>-32.570547441757526</v>
      </c>
      <c r="P101">
        <f t="shared" si="34"/>
        <v>0</v>
      </c>
      <c r="Q101">
        <f t="shared" si="35"/>
        <v>0</v>
      </c>
      <c r="R101">
        <f t="shared" si="36"/>
        <v>0</v>
      </c>
      <c r="S101">
        <f t="shared" si="37"/>
        <v>0</v>
      </c>
      <c r="T101">
        <f t="shared" si="38"/>
        <v>0</v>
      </c>
      <c r="U101" s="14"/>
      <c r="V101" s="14"/>
    </row>
    <row r="102" spans="1:22" x14ac:dyDescent="0.25">
      <c r="A102" s="4">
        <f t="shared" si="30"/>
        <v>0.61499999999999966</v>
      </c>
      <c r="B102" s="30">
        <f t="shared" si="31"/>
        <v>5096.1538461538394</v>
      </c>
      <c r="C102" s="30">
        <f t="shared" si="32"/>
        <v>23.576249999999703</v>
      </c>
      <c r="D102" s="30">
        <f t="shared" si="33"/>
        <v>24.440528177683017</v>
      </c>
      <c r="E102" s="39">
        <f t="shared" si="39"/>
        <v>1019.2307692307679</v>
      </c>
      <c r="F102" s="39">
        <f t="shared" si="40"/>
        <v>254.80769230769198</v>
      </c>
      <c r="G102" s="39">
        <f t="shared" si="41"/>
        <v>9.7762112710732083</v>
      </c>
      <c r="H102" s="39">
        <f t="shared" si="42"/>
        <v>-45.353134347997184</v>
      </c>
      <c r="I102" s="39">
        <f t="shared" si="43"/>
        <v>275.42957793194506</v>
      </c>
      <c r="J102" s="86">
        <f t="shared" si="44"/>
        <v>1</v>
      </c>
      <c r="K102" s="86">
        <f t="shared" si="45"/>
        <v>0</v>
      </c>
      <c r="L102" s="39">
        <f t="shared" si="46"/>
        <v>-45.353134347997184</v>
      </c>
      <c r="M102" s="39">
        <f t="shared" si="47"/>
        <v>0</v>
      </c>
      <c r="N102" s="112">
        <f t="shared" si="48"/>
        <v>-45.353134347997184</v>
      </c>
      <c r="P102">
        <f t="shared" si="34"/>
        <v>0</v>
      </c>
      <c r="Q102">
        <f t="shared" si="35"/>
        <v>0</v>
      </c>
      <c r="R102">
        <f t="shared" si="36"/>
        <v>0</v>
      </c>
      <c r="S102">
        <f t="shared" si="37"/>
        <v>0</v>
      </c>
      <c r="T102">
        <f t="shared" si="38"/>
        <v>0</v>
      </c>
    </row>
    <row r="103" spans="1:22" x14ac:dyDescent="0.25">
      <c r="A103" s="4">
        <f t="shared" si="30"/>
        <v>0.60999999999999965</v>
      </c>
      <c r="B103" s="30">
        <f t="shared" si="31"/>
        <v>4999.9999999999918</v>
      </c>
      <c r="C103" s="30">
        <f t="shared" si="32"/>
        <v>19.694999999999709</v>
      </c>
      <c r="D103" s="30">
        <f t="shared" si="33"/>
        <v>20.378705571938237</v>
      </c>
      <c r="E103" s="39">
        <f t="shared" si="39"/>
        <v>999.99999999999841</v>
      </c>
      <c r="F103" s="39">
        <f t="shared" si="40"/>
        <v>249.9999999999996</v>
      </c>
      <c r="G103" s="39">
        <f t="shared" si="41"/>
        <v>8.1514822287752953</v>
      </c>
      <c r="H103" s="39">
        <f t="shared" si="42"/>
        <v>-58.151482228776445</v>
      </c>
      <c r="I103" s="39">
        <f t="shared" si="43"/>
        <v>275.42957793194506</v>
      </c>
      <c r="J103" s="86">
        <f t="shared" si="44"/>
        <v>1</v>
      </c>
      <c r="K103" s="86">
        <f t="shared" si="45"/>
        <v>0</v>
      </c>
      <c r="L103" s="39">
        <f t="shared" si="46"/>
        <v>-58.151482228776445</v>
      </c>
      <c r="M103" s="39">
        <f t="shared" si="47"/>
        <v>0</v>
      </c>
      <c r="N103" s="112">
        <f t="shared" si="48"/>
        <v>-58.151482228776445</v>
      </c>
      <c r="P103">
        <f t="shared" si="34"/>
        <v>0</v>
      </c>
      <c r="Q103">
        <f t="shared" si="35"/>
        <v>0</v>
      </c>
      <c r="R103">
        <f t="shared" si="36"/>
        <v>0</v>
      </c>
      <c r="S103">
        <f t="shared" si="37"/>
        <v>0</v>
      </c>
      <c r="T103">
        <f t="shared" si="38"/>
        <v>0</v>
      </c>
    </row>
    <row r="104" spans="1:22" x14ac:dyDescent="0.25">
      <c r="A104" s="4">
        <f t="shared" si="30"/>
        <v>0.60499999999999965</v>
      </c>
      <c r="B104" s="30">
        <f t="shared" si="31"/>
        <v>4903.8461538461461</v>
      </c>
      <c r="C104" s="30">
        <f t="shared" si="32"/>
        <v>15.836249999999779</v>
      </c>
      <c r="D104" s="30">
        <f t="shared" si="33"/>
        <v>16.355749493280086</v>
      </c>
      <c r="E104" s="39">
        <f t="shared" si="39"/>
        <v>980.76923076922924</v>
      </c>
      <c r="F104" s="39">
        <f t="shared" si="40"/>
        <v>245.19230769230731</v>
      </c>
      <c r="G104" s="39">
        <f t="shared" si="41"/>
        <v>6.5422997973120349</v>
      </c>
      <c r="H104" s="39">
        <f t="shared" si="42"/>
        <v>-70.965376720390054</v>
      </c>
      <c r="I104" s="39">
        <f t="shared" si="43"/>
        <v>275.42957793194506</v>
      </c>
      <c r="J104" s="86">
        <f t="shared" si="44"/>
        <v>1</v>
      </c>
      <c r="K104" s="86">
        <f t="shared" si="45"/>
        <v>0</v>
      </c>
      <c r="L104" s="39">
        <f t="shared" si="46"/>
        <v>-70.965376720390054</v>
      </c>
      <c r="M104" s="39">
        <f t="shared" si="47"/>
        <v>0</v>
      </c>
      <c r="N104" s="112">
        <f t="shared" si="48"/>
        <v>-70.965376720390054</v>
      </c>
      <c r="P104">
        <f t="shared" si="34"/>
        <v>0</v>
      </c>
      <c r="Q104">
        <f t="shared" si="35"/>
        <v>0</v>
      </c>
      <c r="R104">
        <f t="shared" si="36"/>
        <v>0</v>
      </c>
      <c r="S104">
        <f t="shared" si="37"/>
        <v>0</v>
      </c>
      <c r="T104">
        <f t="shared" si="38"/>
        <v>0</v>
      </c>
    </row>
    <row r="105" spans="1:22" x14ac:dyDescent="0.25">
      <c r="A105" s="4">
        <f t="shared" si="30"/>
        <v>0.59999999999999964</v>
      </c>
      <c r="B105" s="30">
        <f t="shared" si="31"/>
        <v>4807.6923076923003</v>
      </c>
      <c r="C105" s="30">
        <f t="shared" si="32"/>
        <v>11.999999999999744</v>
      </c>
      <c r="D105" s="30">
        <f t="shared" si="33"/>
        <v>12.371134020618292</v>
      </c>
      <c r="E105" s="39">
        <f t="shared" si="39"/>
        <v>961.53846153846007</v>
      </c>
      <c r="F105" s="39">
        <f t="shared" si="40"/>
        <v>240.38461538461502</v>
      </c>
      <c r="G105" s="39">
        <f t="shared" si="41"/>
        <v>4.9484536082473172</v>
      </c>
      <c r="H105" s="39">
        <f t="shared" si="42"/>
        <v>-83.794607454402239</v>
      </c>
      <c r="I105" s="39">
        <f t="shared" si="43"/>
        <v>275.42957793194506</v>
      </c>
      <c r="J105" s="86">
        <f t="shared" si="44"/>
        <v>1</v>
      </c>
      <c r="K105" s="86">
        <f t="shared" si="45"/>
        <v>0</v>
      </c>
      <c r="L105" s="39">
        <f t="shared" si="46"/>
        <v>-83.794607454402239</v>
      </c>
      <c r="M105" s="39">
        <f t="shared" si="47"/>
        <v>0</v>
      </c>
      <c r="N105" s="112">
        <f t="shared" si="48"/>
        <v>-83.794607454402239</v>
      </c>
      <c r="P105">
        <f t="shared" si="34"/>
        <v>0</v>
      </c>
      <c r="Q105">
        <f t="shared" si="35"/>
        <v>0</v>
      </c>
      <c r="R105">
        <f t="shared" si="36"/>
        <v>0</v>
      </c>
      <c r="S105">
        <f t="shared" si="37"/>
        <v>0</v>
      </c>
      <c r="T105">
        <f t="shared" si="38"/>
        <v>0</v>
      </c>
    </row>
    <row r="106" spans="1:22" x14ac:dyDescent="0.25">
      <c r="A106" s="4">
        <f t="shared" si="30"/>
        <v>0.59499999999999964</v>
      </c>
      <c r="B106" s="30">
        <f t="shared" si="31"/>
        <v>4711.5384615384546</v>
      </c>
      <c r="C106" s="30">
        <f t="shared" si="32"/>
        <v>8.1862499999997311</v>
      </c>
      <c r="D106" s="30">
        <f t="shared" si="33"/>
        <v>8.4243429938638066</v>
      </c>
      <c r="E106" s="39">
        <f t="shared" si="39"/>
        <v>942.30769230769101</v>
      </c>
      <c r="F106" s="39">
        <f t="shared" si="40"/>
        <v>235.57692307692275</v>
      </c>
      <c r="G106" s="39">
        <f t="shared" si="41"/>
        <v>3.3697371975455228</v>
      </c>
      <c r="H106" s="39">
        <f t="shared" si="42"/>
        <v>-96.638967966777273</v>
      </c>
      <c r="I106" s="39">
        <f t="shared" si="43"/>
        <v>275.42957793194506</v>
      </c>
      <c r="J106" s="86">
        <f t="shared" si="44"/>
        <v>1</v>
      </c>
      <c r="K106" s="86">
        <f t="shared" si="45"/>
        <v>0</v>
      </c>
      <c r="L106" s="39">
        <f t="shared" si="46"/>
        <v>-96.638967966777273</v>
      </c>
      <c r="M106" s="39">
        <f t="shared" si="47"/>
        <v>0</v>
      </c>
      <c r="N106" s="112">
        <f t="shared" si="48"/>
        <v>-96.638967966777273</v>
      </c>
      <c r="P106">
        <f t="shared" si="34"/>
        <v>0</v>
      </c>
      <c r="Q106">
        <f t="shared" si="35"/>
        <v>0</v>
      </c>
      <c r="R106">
        <f t="shared" si="36"/>
        <v>0</v>
      </c>
      <c r="S106">
        <f t="shared" si="37"/>
        <v>0</v>
      </c>
      <c r="T106">
        <f t="shared" si="38"/>
        <v>0</v>
      </c>
    </row>
    <row r="107" spans="1:22" x14ac:dyDescent="0.25">
      <c r="A107" s="4">
        <f t="shared" si="30"/>
        <v>0.58999999999999964</v>
      </c>
      <c r="B107" s="30">
        <f t="shared" si="31"/>
        <v>4615.3846153846071</v>
      </c>
      <c r="C107" s="30">
        <f t="shared" si="32"/>
        <v>4.3949999999997829</v>
      </c>
      <c r="D107" s="30">
        <f t="shared" si="33"/>
        <v>4.5148697930040393</v>
      </c>
      <c r="E107" s="39">
        <f t="shared" si="39"/>
        <v>923.0769230769215</v>
      </c>
      <c r="F107" s="39">
        <f t="shared" si="40"/>
        <v>230.76923076923038</v>
      </c>
      <c r="G107" s="39">
        <f t="shared" si="41"/>
        <v>1.8059479172016157</v>
      </c>
      <c r="H107" s="39">
        <f t="shared" si="42"/>
        <v>-109.49825560951047</v>
      </c>
      <c r="I107" s="39">
        <f t="shared" si="43"/>
        <v>275.42957793194506</v>
      </c>
      <c r="J107" s="86">
        <f t="shared" si="44"/>
        <v>1</v>
      </c>
      <c r="K107" s="86">
        <f t="shared" si="45"/>
        <v>0</v>
      </c>
      <c r="L107" s="39">
        <f t="shared" si="46"/>
        <v>-109.49825560951047</v>
      </c>
      <c r="M107" s="39">
        <f t="shared" si="47"/>
        <v>0</v>
      </c>
      <c r="N107" s="112">
        <f t="shared" si="48"/>
        <v>-109.49825560951047</v>
      </c>
      <c r="P107">
        <f t="shared" si="34"/>
        <v>0</v>
      </c>
      <c r="Q107">
        <f t="shared" si="35"/>
        <v>0</v>
      </c>
      <c r="R107">
        <f t="shared" si="36"/>
        <v>0</v>
      </c>
      <c r="S107">
        <f t="shared" si="37"/>
        <v>0</v>
      </c>
      <c r="T107">
        <f t="shared" si="38"/>
        <v>0</v>
      </c>
    </row>
    <row r="108" spans="1:22" x14ac:dyDescent="0.25">
      <c r="A108" s="4">
        <f t="shared" si="30"/>
        <v>0.58499999999999963</v>
      </c>
      <c r="B108" s="30">
        <f t="shared" si="31"/>
        <v>4519.2307692307613</v>
      </c>
      <c r="C108" s="30">
        <f t="shared" si="32"/>
        <v>0.62624999999968622</v>
      </c>
      <c r="D108" s="30">
        <f t="shared" si="33"/>
        <v>0.64221712322588975</v>
      </c>
      <c r="E108" s="39">
        <f t="shared" si="39"/>
        <v>903.84615384615233</v>
      </c>
      <c r="F108" s="39">
        <f t="shared" si="40"/>
        <v>225.96153846153808</v>
      </c>
      <c r="G108" s="39">
        <f t="shared" si="41"/>
        <v>0.25688684929035593</v>
      </c>
      <c r="H108" s="39">
        <f t="shared" si="42"/>
        <v>-122.37227146467615</v>
      </c>
      <c r="I108" s="39">
        <f t="shared" si="43"/>
        <v>275.42957793194506</v>
      </c>
      <c r="J108" s="86">
        <f t="shared" si="44"/>
        <v>1</v>
      </c>
      <c r="K108" s="86">
        <f t="shared" si="45"/>
        <v>0</v>
      </c>
      <c r="L108" s="39">
        <f t="shared" si="46"/>
        <v>-122.37227146467615</v>
      </c>
      <c r="M108" s="39">
        <f t="shared" si="47"/>
        <v>0</v>
      </c>
      <c r="N108" s="112">
        <f t="shared" si="48"/>
        <v>-122.37227146467615</v>
      </c>
      <c r="P108">
        <f t="shared" si="34"/>
        <v>0</v>
      </c>
      <c r="Q108">
        <f t="shared" si="35"/>
        <v>0</v>
      </c>
      <c r="R108">
        <f t="shared" si="36"/>
        <v>0</v>
      </c>
      <c r="S108">
        <f t="shared" si="37"/>
        <v>0</v>
      </c>
      <c r="T108">
        <f t="shared" si="38"/>
        <v>0</v>
      </c>
    </row>
    <row r="109" spans="1:22" x14ac:dyDescent="0.25">
      <c r="A109" s="4">
        <f t="shared" si="30"/>
        <v>0.57999999999999963</v>
      </c>
      <c r="B109" s="30">
        <f t="shared" si="31"/>
        <v>4423.0769230769156</v>
      </c>
      <c r="C109" s="30">
        <f t="shared" si="32"/>
        <v>0</v>
      </c>
      <c r="D109" s="30">
        <f t="shared" si="33"/>
        <v>0</v>
      </c>
      <c r="E109" s="39">
        <f t="shared" si="39"/>
        <v>884.61538461538316</v>
      </c>
      <c r="F109" s="39">
        <f t="shared" si="40"/>
        <v>221.15384615384579</v>
      </c>
      <c r="G109" s="39">
        <f t="shared" si="41"/>
        <v>0</v>
      </c>
      <c r="H109" s="39">
        <f t="shared" si="42"/>
        <v>-136.53846153846257</v>
      </c>
      <c r="I109" s="39">
        <f t="shared" si="43"/>
        <v>275.42957793194506</v>
      </c>
      <c r="J109" s="86">
        <f t="shared" si="44"/>
        <v>1</v>
      </c>
      <c r="K109" s="86">
        <f t="shared" si="45"/>
        <v>0</v>
      </c>
      <c r="L109" s="39">
        <f t="shared" si="46"/>
        <v>-136.53846153846257</v>
      </c>
      <c r="M109" s="39">
        <f t="shared" si="47"/>
        <v>0</v>
      </c>
      <c r="N109" s="112">
        <f t="shared" si="48"/>
        <v>-136.53846153846257</v>
      </c>
      <c r="P109">
        <f t="shared" si="34"/>
        <v>0</v>
      </c>
      <c r="Q109">
        <f t="shared" si="35"/>
        <v>0</v>
      </c>
      <c r="R109">
        <f t="shared" si="36"/>
        <v>0</v>
      </c>
      <c r="S109">
        <f t="shared" si="37"/>
        <v>0</v>
      </c>
      <c r="T109">
        <f t="shared" si="38"/>
        <v>0</v>
      </c>
    </row>
    <row r="110" spans="1:22" x14ac:dyDescent="0.25">
      <c r="A110" s="4">
        <f t="shared" si="30"/>
        <v>0.57499999999999962</v>
      </c>
      <c r="B110" s="30">
        <f t="shared" si="31"/>
        <v>4326.923076923068</v>
      </c>
      <c r="C110" s="30">
        <f t="shared" si="32"/>
        <v>0</v>
      </c>
      <c r="D110" s="30">
        <f t="shared" si="33"/>
        <v>0</v>
      </c>
      <c r="E110" s="39">
        <f t="shared" si="39"/>
        <v>865.38461538461365</v>
      </c>
      <c r="F110" s="39">
        <f t="shared" si="40"/>
        <v>216.34615384615341</v>
      </c>
      <c r="G110" s="39">
        <f t="shared" si="41"/>
        <v>0</v>
      </c>
      <c r="H110" s="39">
        <f t="shared" si="42"/>
        <v>-150.9615384615397</v>
      </c>
      <c r="I110" s="39">
        <f t="shared" si="43"/>
        <v>275.42957793194506</v>
      </c>
      <c r="J110" s="86">
        <f t="shared" si="44"/>
        <v>1</v>
      </c>
      <c r="K110" s="86">
        <f t="shared" si="45"/>
        <v>0</v>
      </c>
      <c r="L110" s="39">
        <f t="shared" si="46"/>
        <v>-150.9615384615397</v>
      </c>
      <c r="M110" s="39">
        <f t="shared" si="47"/>
        <v>0</v>
      </c>
      <c r="N110" s="112">
        <f t="shared" si="48"/>
        <v>-150.9615384615397</v>
      </c>
      <c r="P110">
        <f t="shared" si="34"/>
        <v>0</v>
      </c>
      <c r="Q110">
        <f t="shared" si="35"/>
        <v>0</v>
      </c>
      <c r="R110">
        <f t="shared" si="36"/>
        <v>0</v>
      </c>
      <c r="S110">
        <f t="shared" si="37"/>
        <v>0</v>
      </c>
      <c r="T110">
        <f t="shared" si="38"/>
        <v>0</v>
      </c>
    </row>
    <row r="111" spans="1:22" x14ac:dyDescent="0.25">
      <c r="A111" s="4">
        <f t="shared" si="30"/>
        <v>0.56999999999999962</v>
      </c>
      <c r="B111" s="30">
        <f t="shared" si="31"/>
        <v>4230.7692307692223</v>
      </c>
      <c r="C111" s="30">
        <f t="shared" si="32"/>
        <v>0</v>
      </c>
      <c r="D111" s="30">
        <f t="shared" si="33"/>
        <v>0</v>
      </c>
      <c r="E111" s="39">
        <f t="shared" si="39"/>
        <v>846.15384615384448</v>
      </c>
      <c r="F111" s="39">
        <f t="shared" si="40"/>
        <v>211.53846153846112</v>
      </c>
      <c r="G111" s="39">
        <f t="shared" si="41"/>
        <v>0</v>
      </c>
      <c r="H111" s="39">
        <f t="shared" si="42"/>
        <v>-165.38461538461661</v>
      </c>
      <c r="I111" s="39">
        <f t="shared" si="43"/>
        <v>275.42957793194506</v>
      </c>
      <c r="J111" s="86">
        <f t="shared" si="44"/>
        <v>1</v>
      </c>
      <c r="K111" s="86">
        <f t="shared" si="45"/>
        <v>0</v>
      </c>
      <c r="L111" s="39">
        <f t="shared" si="46"/>
        <v>-165.38461538461661</v>
      </c>
      <c r="M111" s="39">
        <f t="shared" si="47"/>
        <v>0</v>
      </c>
      <c r="N111" s="112">
        <f t="shared" si="48"/>
        <v>-165.38461538461661</v>
      </c>
      <c r="P111">
        <f t="shared" si="34"/>
        <v>0</v>
      </c>
      <c r="Q111">
        <f t="shared" si="35"/>
        <v>0</v>
      </c>
      <c r="R111">
        <f t="shared" si="36"/>
        <v>0</v>
      </c>
      <c r="S111">
        <f t="shared" si="37"/>
        <v>0</v>
      </c>
      <c r="T111">
        <f t="shared" si="38"/>
        <v>0</v>
      </c>
    </row>
    <row r="112" spans="1:22" x14ac:dyDescent="0.25">
      <c r="A112" s="4">
        <f t="shared" si="30"/>
        <v>0.56499999999999961</v>
      </c>
      <c r="B112" s="30">
        <f t="shared" si="31"/>
        <v>4134.6153846153766</v>
      </c>
      <c r="C112" s="30">
        <f t="shared" si="32"/>
        <v>0</v>
      </c>
      <c r="D112" s="30">
        <f t="shared" si="33"/>
        <v>0</v>
      </c>
      <c r="E112" s="39">
        <f t="shared" si="39"/>
        <v>826.92307692307531</v>
      </c>
      <c r="F112" s="39">
        <f t="shared" si="40"/>
        <v>206.73076923076883</v>
      </c>
      <c r="G112" s="39">
        <f t="shared" si="41"/>
        <v>0</v>
      </c>
      <c r="H112" s="39">
        <f t="shared" si="42"/>
        <v>-179.80769230769351</v>
      </c>
      <c r="I112" s="39">
        <f t="shared" si="43"/>
        <v>275.42957793194506</v>
      </c>
      <c r="J112" s="86">
        <f t="shared" si="44"/>
        <v>1</v>
      </c>
      <c r="K112" s="86">
        <f t="shared" si="45"/>
        <v>0</v>
      </c>
      <c r="L112" s="39">
        <f t="shared" si="46"/>
        <v>-179.80769230769351</v>
      </c>
      <c r="M112" s="39">
        <f t="shared" si="47"/>
        <v>0</v>
      </c>
      <c r="N112" s="112">
        <f t="shared" si="48"/>
        <v>-179.80769230769351</v>
      </c>
      <c r="P112">
        <f t="shared" si="34"/>
        <v>0</v>
      </c>
      <c r="Q112">
        <f t="shared" si="35"/>
        <v>0</v>
      </c>
      <c r="R112">
        <f t="shared" si="36"/>
        <v>0</v>
      </c>
      <c r="S112">
        <f t="shared" si="37"/>
        <v>0</v>
      </c>
      <c r="T112">
        <f t="shared" si="38"/>
        <v>0</v>
      </c>
    </row>
    <row r="113" spans="1:20" x14ac:dyDescent="0.25">
      <c r="A113" s="4">
        <f t="shared" si="30"/>
        <v>0.55999999999999961</v>
      </c>
      <c r="B113" s="30">
        <f t="shared" si="31"/>
        <v>4038.4615384615295</v>
      </c>
      <c r="C113" s="30">
        <f t="shared" si="32"/>
        <v>0</v>
      </c>
      <c r="D113" s="30">
        <f t="shared" si="33"/>
        <v>0</v>
      </c>
      <c r="E113" s="39">
        <f t="shared" si="39"/>
        <v>807.69230769230592</v>
      </c>
      <c r="F113" s="39">
        <f t="shared" si="40"/>
        <v>201.92307692307648</v>
      </c>
      <c r="G113" s="39">
        <f t="shared" si="41"/>
        <v>0</v>
      </c>
      <c r="H113" s="39">
        <f t="shared" si="42"/>
        <v>-194.23076923077053</v>
      </c>
      <c r="I113" s="39">
        <f t="shared" si="43"/>
        <v>275.42957793194506</v>
      </c>
      <c r="J113" s="86">
        <f t="shared" si="44"/>
        <v>1</v>
      </c>
      <c r="K113" s="86">
        <f t="shared" si="45"/>
        <v>0</v>
      </c>
      <c r="L113" s="39">
        <f t="shared" si="46"/>
        <v>-194.23076923077053</v>
      </c>
      <c r="M113" s="39">
        <f t="shared" si="47"/>
        <v>0</v>
      </c>
      <c r="N113" s="112">
        <f t="shared" si="48"/>
        <v>-194.23076923077053</v>
      </c>
      <c r="P113">
        <f t="shared" si="34"/>
        <v>0</v>
      </c>
      <c r="Q113">
        <f t="shared" si="35"/>
        <v>0</v>
      </c>
      <c r="R113">
        <f t="shared" si="36"/>
        <v>0</v>
      </c>
      <c r="S113">
        <f t="shared" si="37"/>
        <v>0</v>
      </c>
      <c r="T113">
        <f t="shared" si="38"/>
        <v>0</v>
      </c>
    </row>
    <row r="114" spans="1:20" x14ac:dyDescent="0.25">
      <c r="A114" s="4">
        <f t="shared" si="30"/>
        <v>0.5549999999999996</v>
      </c>
      <c r="B114" s="30">
        <f t="shared" si="31"/>
        <v>3942.3076923076837</v>
      </c>
      <c r="C114" s="30">
        <f t="shared" si="32"/>
        <v>0</v>
      </c>
      <c r="D114" s="30">
        <f t="shared" si="33"/>
        <v>0</v>
      </c>
      <c r="E114" s="39">
        <f t="shared" si="39"/>
        <v>788.46153846153675</v>
      </c>
      <c r="F114" s="39">
        <f t="shared" si="40"/>
        <v>197.11538461538419</v>
      </c>
      <c r="G114" s="39">
        <f t="shared" si="41"/>
        <v>0</v>
      </c>
      <c r="H114" s="39">
        <f t="shared" si="42"/>
        <v>-208.65384615384744</v>
      </c>
      <c r="I114" s="39">
        <f t="shared" si="43"/>
        <v>275.42957793194506</v>
      </c>
      <c r="J114" s="86">
        <f t="shared" si="44"/>
        <v>1</v>
      </c>
      <c r="K114" s="86">
        <f t="shared" si="45"/>
        <v>0</v>
      </c>
      <c r="L114" s="39">
        <f t="shared" si="46"/>
        <v>-208.65384615384744</v>
      </c>
      <c r="M114" s="39">
        <f t="shared" si="47"/>
        <v>0</v>
      </c>
      <c r="N114" s="112">
        <f t="shared" si="48"/>
        <v>-208.65384615384744</v>
      </c>
      <c r="P114">
        <f t="shared" si="34"/>
        <v>0</v>
      </c>
      <c r="Q114">
        <f t="shared" si="35"/>
        <v>0</v>
      </c>
      <c r="R114">
        <f t="shared" si="36"/>
        <v>0</v>
      </c>
      <c r="S114">
        <f t="shared" si="37"/>
        <v>0</v>
      </c>
      <c r="T114">
        <f t="shared" si="38"/>
        <v>0</v>
      </c>
    </row>
    <row r="115" spans="1:20" x14ac:dyDescent="0.25">
      <c r="A115" s="4">
        <f t="shared" si="30"/>
        <v>0.5499999999999996</v>
      </c>
      <c r="B115" s="30">
        <f t="shared" si="31"/>
        <v>3846.153846153838</v>
      </c>
      <c r="C115" s="30">
        <f t="shared" si="32"/>
        <v>0</v>
      </c>
      <c r="D115" s="30">
        <f t="shared" si="33"/>
        <v>0</v>
      </c>
      <c r="E115" s="39">
        <f t="shared" si="39"/>
        <v>769.23076923076769</v>
      </c>
      <c r="F115" s="39">
        <f t="shared" si="40"/>
        <v>192.30769230769192</v>
      </c>
      <c r="G115" s="39">
        <f t="shared" si="41"/>
        <v>0</v>
      </c>
      <c r="H115" s="39">
        <f t="shared" si="42"/>
        <v>-223.07692307692423</v>
      </c>
      <c r="I115" s="39">
        <f t="shared" si="43"/>
        <v>275.42957793194506</v>
      </c>
      <c r="J115" s="86">
        <f t="shared" si="44"/>
        <v>1</v>
      </c>
      <c r="K115" s="86">
        <f t="shared" si="45"/>
        <v>0</v>
      </c>
      <c r="L115" s="39">
        <f t="shared" si="46"/>
        <v>-223.07692307692423</v>
      </c>
      <c r="M115" s="39">
        <f t="shared" si="47"/>
        <v>0</v>
      </c>
      <c r="N115" s="112">
        <f t="shared" si="48"/>
        <v>-223.07692307692423</v>
      </c>
      <c r="P115">
        <f t="shared" si="34"/>
        <v>0</v>
      </c>
      <c r="Q115">
        <f t="shared" si="35"/>
        <v>0</v>
      </c>
      <c r="R115">
        <f t="shared" si="36"/>
        <v>0</v>
      </c>
      <c r="S115">
        <f t="shared" si="37"/>
        <v>0</v>
      </c>
      <c r="T115">
        <f t="shared" si="38"/>
        <v>0</v>
      </c>
    </row>
    <row r="116" spans="1:20" x14ac:dyDescent="0.25">
      <c r="A116" s="4">
        <f t="shared" si="30"/>
        <v>0.5449999999999996</v>
      </c>
      <c r="B116" s="30">
        <f t="shared" si="31"/>
        <v>3749.9999999999923</v>
      </c>
      <c r="C116" s="30">
        <f t="shared" si="32"/>
        <v>0</v>
      </c>
      <c r="D116" s="30">
        <f t="shared" si="33"/>
        <v>0</v>
      </c>
      <c r="E116" s="39">
        <f t="shared" si="39"/>
        <v>749.99999999999852</v>
      </c>
      <c r="F116" s="39">
        <f t="shared" si="40"/>
        <v>187.49999999999963</v>
      </c>
      <c r="G116" s="39">
        <f t="shared" si="41"/>
        <v>0</v>
      </c>
      <c r="H116" s="39">
        <f t="shared" si="42"/>
        <v>-237.50000000000114</v>
      </c>
      <c r="I116" s="39">
        <f t="shared" si="43"/>
        <v>275.42957793194506</v>
      </c>
      <c r="J116" s="86">
        <f t="shared" si="44"/>
        <v>1</v>
      </c>
      <c r="K116" s="86">
        <f t="shared" si="45"/>
        <v>0</v>
      </c>
      <c r="L116" s="39">
        <f t="shared" si="46"/>
        <v>-237.50000000000114</v>
      </c>
      <c r="M116" s="39">
        <f t="shared" si="47"/>
        <v>0</v>
      </c>
      <c r="N116" s="112">
        <f t="shared" si="48"/>
        <v>-237.50000000000114</v>
      </c>
      <c r="P116">
        <f t="shared" si="34"/>
        <v>0</v>
      </c>
      <c r="Q116">
        <f t="shared" si="35"/>
        <v>0</v>
      </c>
      <c r="R116">
        <f t="shared" si="36"/>
        <v>0</v>
      </c>
      <c r="S116">
        <f t="shared" si="37"/>
        <v>0</v>
      </c>
      <c r="T116">
        <f t="shared" si="38"/>
        <v>0</v>
      </c>
    </row>
    <row r="117" spans="1:20" x14ac:dyDescent="0.25">
      <c r="A117" s="4">
        <f t="shared" si="30"/>
        <v>0.53999999999999959</v>
      </c>
      <c r="B117" s="30">
        <f t="shared" si="31"/>
        <v>3653.8461538461452</v>
      </c>
      <c r="C117" s="30">
        <f t="shared" si="32"/>
        <v>0</v>
      </c>
      <c r="D117" s="30">
        <f t="shared" si="33"/>
        <v>0</v>
      </c>
      <c r="E117" s="39">
        <f t="shared" si="39"/>
        <v>730.76923076922913</v>
      </c>
      <c r="F117" s="39">
        <f t="shared" si="40"/>
        <v>182.69230769230728</v>
      </c>
      <c r="G117" s="39">
        <f t="shared" si="41"/>
        <v>0</v>
      </c>
      <c r="H117" s="39">
        <f t="shared" si="42"/>
        <v>-251.92307692307816</v>
      </c>
      <c r="I117" s="39">
        <f t="shared" si="43"/>
        <v>275.42957793194506</v>
      </c>
      <c r="J117" s="86">
        <f t="shared" si="44"/>
        <v>1</v>
      </c>
      <c r="K117" s="86">
        <f t="shared" si="45"/>
        <v>0</v>
      </c>
      <c r="L117" s="39">
        <f t="shared" si="46"/>
        <v>-251.92307692307816</v>
      </c>
      <c r="M117" s="39">
        <f t="shared" si="47"/>
        <v>0</v>
      </c>
      <c r="N117" s="112">
        <f t="shared" si="48"/>
        <v>-251.92307692307816</v>
      </c>
      <c r="P117">
        <f t="shared" si="34"/>
        <v>0</v>
      </c>
      <c r="Q117">
        <f t="shared" si="35"/>
        <v>0</v>
      </c>
      <c r="R117">
        <f t="shared" si="36"/>
        <v>0</v>
      </c>
      <c r="S117">
        <f t="shared" si="37"/>
        <v>0</v>
      </c>
      <c r="T117">
        <f t="shared" si="38"/>
        <v>0</v>
      </c>
    </row>
    <row r="118" spans="1:20" x14ac:dyDescent="0.25">
      <c r="A118" s="4">
        <f t="shared" si="30"/>
        <v>0.53499999999999959</v>
      </c>
      <c r="B118" s="30">
        <f t="shared" si="31"/>
        <v>3557.6923076922994</v>
      </c>
      <c r="C118" s="30">
        <f t="shared" si="32"/>
        <v>0</v>
      </c>
      <c r="D118" s="30">
        <f t="shared" si="33"/>
        <v>0</v>
      </c>
      <c r="E118" s="39">
        <f t="shared" si="39"/>
        <v>711.53846153845996</v>
      </c>
      <c r="F118" s="39">
        <f t="shared" si="40"/>
        <v>177.88461538461499</v>
      </c>
      <c r="G118" s="39">
        <f t="shared" si="41"/>
        <v>0</v>
      </c>
      <c r="H118" s="39">
        <f t="shared" si="42"/>
        <v>-266.34615384615506</v>
      </c>
      <c r="I118" s="39">
        <f t="shared" si="43"/>
        <v>275.42957793194506</v>
      </c>
      <c r="J118" s="86">
        <f t="shared" si="44"/>
        <v>1</v>
      </c>
      <c r="K118" s="86">
        <f t="shared" si="45"/>
        <v>0</v>
      </c>
      <c r="L118" s="39">
        <f t="shared" si="46"/>
        <v>-266.34615384615506</v>
      </c>
      <c r="M118" s="39">
        <f t="shared" si="47"/>
        <v>0</v>
      </c>
      <c r="N118" s="112">
        <f t="shared" si="48"/>
        <v>-266.34615384615506</v>
      </c>
      <c r="P118">
        <f t="shared" si="34"/>
        <v>0</v>
      </c>
      <c r="Q118">
        <f t="shared" si="35"/>
        <v>0</v>
      </c>
      <c r="R118">
        <f t="shared" si="36"/>
        <v>0</v>
      </c>
      <c r="S118">
        <f t="shared" si="37"/>
        <v>0</v>
      </c>
      <c r="T118">
        <f t="shared" si="38"/>
        <v>0</v>
      </c>
    </row>
    <row r="119" spans="1:20" x14ac:dyDescent="0.25">
      <c r="A119" s="4">
        <f t="shared" si="30"/>
        <v>0.52999999999999958</v>
      </c>
      <c r="B119" s="30">
        <f t="shared" si="31"/>
        <v>3461.5384615384532</v>
      </c>
      <c r="C119" s="30">
        <f t="shared" si="32"/>
        <v>0</v>
      </c>
      <c r="D119" s="30">
        <f t="shared" si="33"/>
        <v>0</v>
      </c>
      <c r="E119" s="39">
        <f t="shared" si="39"/>
        <v>692.30769230769067</v>
      </c>
      <c r="F119" s="39">
        <f t="shared" si="40"/>
        <v>173.07692307692267</v>
      </c>
      <c r="G119" s="39">
        <f t="shared" si="41"/>
        <v>0</v>
      </c>
      <c r="H119" s="39">
        <f t="shared" si="42"/>
        <v>-280.76923076923197</v>
      </c>
      <c r="I119" s="39">
        <f t="shared" si="43"/>
        <v>275.42957793194506</v>
      </c>
      <c r="J119" s="86">
        <f t="shared" si="44"/>
        <v>1</v>
      </c>
      <c r="K119" s="86">
        <f t="shared" si="45"/>
        <v>0</v>
      </c>
      <c r="L119" s="39">
        <f t="shared" si="46"/>
        <v>-280.76923076923197</v>
      </c>
      <c r="M119" s="39">
        <f t="shared" si="47"/>
        <v>0</v>
      </c>
      <c r="N119" s="112">
        <f t="shared" si="48"/>
        <v>-280.76923076923197</v>
      </c>
      <c r="P119">
        <f t="shared" si="34"/>
        <v>0</v>
      </c>
      <c r="Q119">
        <f t="shared" si="35"/>
        <v>0</v>
      </c>
      <c r="R119">
        <f t="shared" si="36"/>
        <v>0</v>
      </c>
      <c r="S119">
        <f t="shared" si="37"/>
        <v>0</v>
      </c>
      <c r="T119">
        <f t="shared" si="38"/>
        <v>0</v>
      </c>
    </row>
    <row r="120" spans="1:20" x14ac:dyDescent="0.25">
      <c r="A120" s="4">
        <f t="shared" si="30"/>
        <v>0.52499999999999958</v>
      </c>
      <c r="B120" s="30">
        <f t="shared" si="31"/>
        <v>3365.3846153846061</v>
      </c>
      <c r="C120" s="30">
        <f t="shared" si="32"/>
        <v>0</v>
      </c>
      <c r="D120" s="30">
        <f t="shared" si="33"/>
        <v>0</v>
      </c>
      <c r="E120" s="39">
        <f t="shared" si="39"/>
        <v>673.07692307692128</v>
      </c>
      <c r="F120" s="39">
        <f t="shared" si="40"/>
        <v>168.26923076923032</v>
      </c>
      <c r="G120" s="39">
        <f t="shared" si="41"/>
        <v>0</v>
      </c>
      <c r="H120" s="39">
        <f t="shared" si="42"/>
        <v>-295.19230769230904</v>
      </c>
      <c r="I120" s="39">
        <f t="shared" si="43"/>
        <v>275.42957793194506</v>
      </c>
      <c r="J120" s="86">
        <f t="shared" si="44"/>
        <v>1</v>
      </c>
      <c r="K120" s="86">
        <f t="shared" si="45"/>
        <v>0</v>
      </c>
      <c r="L120" s="39">
        <f t="shared" si="46"/>
        <v>-295.19230769230904</v>
      </c>
      <c r="M120" s="39">
        <f t="shared" si="47"/>
        <v>0</v>
      </c>
      <c r="N120" s="112">
        <f t="shared" si="48"/>
        <v>-295.19230769230904</v>
      </c>
      <c r="P120">
        <f t="shared" si="34"/>
        <v>0</v>
      </c>
      <c r="Q120">
        <f t="shared" si="35"/>
        <v>0</v>
      </c>
      <c r="R120">
        <f t="shared" si="36"/>
        <v>0</v>
      </c>
      <c r="S120">
        <f t="shared" si="37"/>
        <v>0</v>
      </c>
      <c r="T120">
        <f t="shared" si="38"/>
        <v>0</v>
      </c>
    </row>
    <row r="121" spans="1:20" x14ac:dyDescent="0.25">
      <c r="A121" s="4">
        <f t="shared" si="30"/>
        <v>0.51999999999999957</v>
      </c>
      <c r="B121" s="30">
        <f t="shared" si="31"/>
        <v>3269.2307692307604</v>
      </c>
      <c r="C121" s="30">
        <f t="shared" si="32"/>
        <v>0</v>
      </c>
      <c r="D121" s="30">
        <f t="shared" si="33"/>
        <v>0</v>
      </c>
      <c r="E121" s="39">
        <f t="shared" si="39"/>
        <v>653.84615384615211</v>
      </c>
      <c r="F121" s="39">
        <f t="shared" si="40"/>
        <v>163.46153846153803</v>
      </c>
      <c r="G121" s="39">
        <f t="shared" si="41"/>
        <v>0</v>
      </c>
      <c r="H121" s="39">
        <f t="shared" si="42"/>
        <v>-309.61538461538589</v>
      </c>
      <c r="I121" s="39">
        <f t="shared" si="43"/>
        <v>275.42957793194506</v>
      </c>
      <c r="J121" s="86">
        <f t="shared" si="44"/>
        <v>1</v>
      </c>
      <c r="K121" s="86">
        <f t="shared" si="45"/>
        <v>0</v>
      </c>
      <c r="L121" s="39">
        <f t="shared" si="46"/>
        <v>-309.61538461538589</v>
      </c>
      <c r="M121" s="39">
        <f t="shared" si="47"/>
        <v>0</v>
      </c>
      <c r="N121" s="112">
        <f t="shared" si="48"/>
        <v>-309.61538461538589</v>
      </c>
      <c r="P121">
        <f t="shared" si="34"/>
        <v>0</v>
      </c>
      <c r="Q121">
        <f t="shared" si="35"/>
        <v>0</v>
      </c>
      <c r="R121">
        <f t="shared" si="36"/>
        <v>0</v>
      </c>
      <c r="S121">
        <f t="shared" si="37"/>
        <v>0</v>
      </c>
      <c r="T121">
        <f t="shared" si="38"/>
        <v>0</v>
      </c>
    </row>
    <row r="122" spans="1:20" x14ac:dyDescent="0.25">
      <c r="A122" s="4">
        <f t="shared" si="30"/>
        <v>0.51499999999999957</v>
      </c>
      <c r="B122" s="30">
        <f t="shared" si="31"/>
        <v>3173.0769230769147</v>
      </c>
      <c r="C122" s="30">
        <f t="shared" si="32"/>
        <v>0</v>
      </c>
      <c r="D122" s="30">
        <f t="shared" si="33"/>
        <v>0</v>
      </c>
      <c r="E122" s="39">
        <f t="shared" si="39"/>
        <v>634.61538461538294</v>
      </c>
      <c r="F122" s="39">
        <f t="shared" si="40"/>
        <v>158.65384615384573</v>
      </c>
      <c r="G122" s="39">
        <f t="shared" si="41"/>
        <v>0</v>
      </c>
      <c r="H122" s="39">
        <f t="shared" si="42"/>
        <v>-324.0384615384628</v>
      </c>
      <c r="I122" s="39">
        <f t="shared" si="43"/>
        <v>275.42957793194506</v>
      </c>
      <c r="J122" s="86">
        <f t="shared" si="44"/>
        <v>1</v>
      </c>
      <c r="K122" s="86">
        <f t="shared" si="45"/>
        <v>0</v>
      </c>
      <c r="L122" s="39">
        <f t="shared" si="46"/>
        <v>-324.0384615384628</v>
      </c>
      <c r="M122" s="39">
        <f t="shared" si="47"/>
        <v>0</v>
      </c>
      <c r="N122" s="112">
        <f t="shared" si="48"/>
        <v>-324.0384615384628</v>
      </c>
      <c r="P122">
        <f t="shared" si="34"/>
        <v>0</v>
      </c>
      <c r="Q122">
        <f t="shared" si="35"/>
        <v>0</v>
      </c>
      <c r="R122">
        <f t="shared" si="36"/>
        <v>0</v>
      </c>
      <c r="S122">
        <f t="shared" si="37"/>
        <v>0</v>
      </c>
      <c r="T122">
        <f t="shared" si="38"/>
        <v>0</v>
      </c>
    </row>
    <row r="123" spans="1:20" x14ac:dyDescent="0.25">
      <c r="A123" s="4">
        <f t="shared" si="30"/>
        <v>0.50999999999999956</v>
      </c>
      <c r="B123" s="30">
        <f t="shared" si="31"/>
        <v>3076.9230769230676</v>
      </c>
      <c r="C123" s="30">
        <f t="shared" si="32"/>
        <v>0</v>
      </c>
      <c r="D123" s="30">
        <f t="shared" si="33"/>
        <v>0</v>
      </c>
      <c r="E123" s="39">
        <f t="shared" si="39"/>
        <v>615.38461538461354</v>
      </c>
      <c r="F123" s="39">
        <f t="shared" si="40"/>
        <v>153.84615384615338</v>
      </c>
      <c r="G123" s="39">
        <f t="shared" si="41"/>
        <v>0</v>
      </c>
      <c r="H123" s="39">
        <f t="shared" si="42"/>
        <v>-338.46153846153982</v>
      </c>
      <c r="I123" s="39">
        <f t="shared" si="43"/>
        <v>275.42957793194506</v>
      </c>
      <c r="J123" s="86">
        <f t="shared" si="44"/>
        <v>1</v>
      </c>
      <c r="K123" s="86">
        <f t="shared" si="45"/>
        <v>0</v>
      </c>
      <c r="L123" s="39">
        <f t="shared" si="46"/>
        <v>-338.46153846153982</v>
      </c>
      <c r="M123" s="39">
        <f t="shared" si="47"/>
        <v>0</v>
      </c>
      <c r="N123" s="112">
        <f t="shared" si="48"/>
        <v>-338.46153846153982</v>
      </c>
      <c r="P123">
        <f t="shared" si="34"/>
        <v>0</v>
      </c>
      <c r="Q123">
        <f t="shared" si="35"/>
        <v>0</v>
      </c>
      <c r="R123">
        <f t="shared" si="36"/>
        <v>0</v>
      </c>
      <c r="S123">
        <f t="shared" si="37"/>
        <v>0</v>
      </c>
      <c r="T123">
        <f t="shared" si="38"/>
        <v>0</v>
      </c>
    </row>
    <row r="124" spans="1:20" x14ac:dyDescent="0.25">
      <c r="A124" s="4">
        <f t="shared" si="30"/>
        <v>0.50499999999999956</v>
      </c>
      <c r="B124" s="30">
        <f t="shared" si="31"/>
        <v>2980.7692307692214</v>
      </c>
      <c r="C124" s="30">
        <f t="shared" si="32"/>
        <v>0</v>
      </c>
      <c r="D124" s="30">
        <f t="shared" si="33"/>
        <v>0</v>
      </c>
      <c r="E124" s="39">
        <f t="shared" si="39"/>
        <v>596.15384615384426</v>
      </c>
      <c r="F124" s="39">
        <f t="shared" si="40"/>
        <v>149.03846153846106</v>
      </c>
      <c r="G124" s="39">
        <f t="shared" si="41"/>
        <v>0</v>
      </c>
      <c r="H124" s="39">
        <f t="shared" si="42"/>
        <v>-352.88461538461684</v>
      </c>
      <c r="I124" s="39">
        <f t="shared" si="43"/>
        <v>275.42957793194506</v>
      </c>
      <c r="J124" s="86">
        <f t="shared" si="44"/>
        <v>1</v>
      </c>
      <c r="K124" s="86">
        <f t="shared" si="45"/>
        <v>0</v>
      </c>
      <c r="L124" s="39">
        <f t="shared" si="46"/>
        <v>-352.88461538461684</v>
      </c>
      <c r="M124" s="39">
        <f t="shared" si="47"/>
        <v>0</v>
      </c>
      <c r="N124" s="112">
        <f t="shared" si="48"/>
        <v>-352.88461538461684</v>
      </c>
      <c r="P124">
        <f t="shared" si="34"/>
        <v>0</v>
      </c>
      <c r="Q124">
        <f t="shared" si="35"/>
        <v>0</v>
      </c>
      <c r="R124">
        <f t="shared" si="36"/>
        <v>0</v>
      </c>
      <c r="S124">
        <f t="shared" si="37"/>
        <v>0</v>
      </c>
      <c r="T124">
        <f t="shared" si="38"/>
        <v>0</v>
      </c>
    </row>
    <row r="125" spans="1:20" x14ac:dyDescent="0.25">
      <c r="A125" s="4">
        <f t="shared" si="30"/>
        <v>0.49999999999999956</v>
      </c>
      <c r="B125" s="30">
        <f t="shared" si="31"/>
        <v>2884.6153846153757</v>
      </c>
      <c r="C125" s="30">
        <f t="shared" si="32"/>
        <v>0</v>
      </c>
      <c r="D125" s="30">
        <f t="shared" si="33"/>
        <v>0</v>
      </c>
      <c r="E125" s="39">
        <f t="shared" si="39"/>
        <v>576.9230769230752</v>
      </c>
      <c r="F125" s="39">
        <f t="shared" si="40"/>
        <v>144.2307692307688</v>
      </c>
      <c r="G125" s="39">
        <f t="shared" si="41"/>
        <v>0</v>
      </c>
      <c r="H125" s="39">
        <f t="shared" si="42"/>
        <v>-367.30769230769363</v>
      </c>
      <c r="I125" s="39">
        <f t="shared" si="43"/>
        <v>275.42957793194506</v>
      </c>
      <c r="J125" s="86">
        <f t="shared" si="44"/>
        <v>1</v>
      </c>
      <c r="K125" s="86">
        <f t="shared" si="45"/>
        <v>0</v>
      </c>
      <c r="L125" s="39">
        <f t="shared" si="46"/>
        <v>-367.30769230769363</v>
      </c>
      <c r="M125" s="39">
        <f t="shared" si="47"/>
        <v>0</v>
      </c>
      <c r="N125" s="112">
        <f t="shared" si="48"/>
        <v>-367.30769230769363</v>
      </c>
      <c r="P125">
        <f t="shared" si="34"/>
        <v>0</v>
      </c>
      <c r="Q125">
        <f t="shared" si="35"/>
        <v>0</v>
      </c>
      <c r="R125">
        <f t="shared" si="36"/>
        <v>0</v>
      </c>
      <c r="S125">
        <f t="shared" si="37"/>
        <v>0</v>
      </c>
      <c r="T125">
        <f t="shared" si="38"/>
        <v>0</v>
      </c>
    </row>
  </sheetData>
  <mergeCells count="2">
    <mergeCell ref="R3:S3"/>
    <mergeCell ref="T4:U4"/>
  </mergeCells>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WPF Model</vt:lpstr>
      <vt:lpstr>IrrReq</vt:lpstr>
      <vt:lpstr>UnlWaterNI</vt:lpstr>
      <vt:lpstr>WatLimNI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Trout, Thomas</cp:lastModifiedBy>
  <dcterms:created xsi:type="dcterms:W3CDTF">2017-08-28T21:14:12Z</dcterms:created>
  <dcterms:modified xsi:type="dcterms:W3CDTF">2020-05-27T17:22:51Z</dcterms:modified>
</cp:coreProperties>
</file>