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claire.phillips\Box\Group Projects\Turfgrass Carbon\Review Paper\MetaAnalysis\"/>
    </mc:Choice>
  </mc:AlternateContent>
  <xr:revisionPtr revIDLastSave="0" documentId="13_ncr:1_{E506A711-2399-46D1-B69F-0B3062A6EFAE}" xr6:coauthVersionLast="47" xr6:coauthVersionMax="47" xr10:uidLastSave="{00000000-0000-0000-0000-000000000000}"/>
  <bookViews>
    <workbookView xWindow="760" yWindow="760" windowWidth="14400" windowHeight="7360" tabRatio="748" firstSheet="1" activeTab="5" xr2:uid="{00000000-000D-0000-FFFF-FFFF00000000}"/>
  </bookViews>
  <sheets>
    <sheet name="Study Summary" sheetId="6" r:id="rId1"/>
    <sheet name="SequestrationRate_Total" sheetId="2" r:id="rId2"/>
    <sheet name="SequestrationRate_byDepth" sheetId="7" r:id="rId3"/>
    <sheet name="Calculation of HCC" sheetId="9" r:id="rId4"/>
    <sheet name="Mower Equipment EFs" sheetId="10" r:id="rId5"/>
    <sheet name="Units" sheetId="4" r:id="rId6"/>
  </sheets>
  <definedNames>
    <definedName name="_xlnm._FilterDatabase" localSheetId="3" hidden="1">'Calculation of HCC'!$A$1:$CL$66</definedName>
    <definedName name="_xlnm._FilterDatabase" localSheetId="1" hidden="1">SequestrationRate_Total!$A$1:$AM$64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54" i="9" l="1"/>
  <c r="AU19" i="9"/>
  <c r="BX3" i="9"/>
  <c r="BX4" i="9"/>
  <c r="BX5" i="9"/>
  <c r="BX6" i="9"/>
  <c r="BX7" i="9"/>
  <c r="BX8" i="9"/>
  <c r="BX9" i="9"/>
  <c r="BX10" i="9"/>
  <c r="BX11" i="9"/>
  <c r="BX12" i="9"/>
  <c r="BX13" i="9"/>
  <c r="BX14" i="9"/>
  <c r="BX15" i="9"/>
  <c r="BX16" i="9"/>
  <c r="BX17" i="9"/>
  <c r="BX18" i="9"/>
  <c r="BX19" i="9"/>
  <c r="BX20" i="9"/>
  <c r="BX21" i="9"/>
  <c r="BX22" i="9"/>
  <c r="BX23" i="9"/>
  <c r="BX24" i="9"/>
  <c r="BX25" i="9"/>
  <c r="BX26" i="9"/>
  <c r="BX27" i="9"/>
  <c r="BX28" i="9"/>
  <c r="BX29" i="9"/>
  <c r="BX32" i="9"/>
  <c r="BX33" i="9"/>
  <c r="BX34" i="9"/>
  <c r="BX35" i="9"/>
  <c r="BX36" i="9"/>
  <c r="BX37" i="9"/>
  <c r="BX38" i="9"/>
  <c r="BX39" i="9"/>
  <c r="BX40" i="9"/>
  <c r="BX41" i="9"/>
  <c r="BX42" i="9"/>
  <c r="BX43" i="9"/>
  <c r="BX44" i="9"/>
  <c r="BX45" i="9"/>
  <c r="BX46" i="9"/>
  <c r="BX47" i="9"/>
  <c r="BX48" i="9"/>
  <c r="BX49" i="9"/>
  <c r="BX50" i="9"/>
  <c r="BX51" i="9"/>
  <c r="BX52" i="9"/>
  <c r="BX53" i="9"/>
  <c r="BX54" i="9"/>
  <c r="BX55" i="9"/>
  <c r="BX56" i="9"/>
  <c r="BX57" i="9"/>
  <c r="BX58" i="9"/>
  <c r="BX59" i="9"/>
  <c r="BX60" i="9"/>
  <c r="BX61" i="9"/>
  <c r="BX62" i="9"/>
  <c r="BX63" i="9"/>
  <c r="BX64" i="9"/>
  <c r="BX65" i="9"/>
  <c r="BX66" i="9"/>
  <c r="BX2" i="9"/>
  <c r="AF3" i="9"/>
  <c r="AF4" i="9"/>
  <c r="AF5" i="9"/>
  <c r="AF6" i="9"/>
  <c r="AF7" i="9"/>
  <c r="AF8" i="9"/>
  <c r="AF9" i="9"/>
  <c r="AF10" i="9"/>
  <c r="AF11" i="9"/>
  <c r="AF12" i="9"/>
  <c r="AF13" i="9"/>
  <c r="AF14" i="9"/>
  <c r="AF15" i="9"/>
  <c r="AF16" i="9"/>
  <c r="AF17" i="9"/>
  <c r="AF18" i="9"/>
  <c r="AF19" i="9"/>
  <c r="AF20" i="9"/>
  <c r="AF21" i="9"/>
  <c r="AF22" i="9"/>
  <c r="AF23" i="9"/>
  <c r="AF24" i="9"/>
  <c r="AF25" i="9"/>
  <c r="AF26" i="9"/>
  <c r="AF27" i="9"/>
  <c r="AF28" i="9"/>
  <c r="AF29" i="9"/>
  <c r="AF30" i="9"/>
  <c r="AF31" i="9"/>
  <c r="AF32" i="9"/>
  <c r="AF33" i="9"/>
  <c r="AF34" i="9"/>
  <c r="AF35" i="9"/>
  <c r="AF36" i="9"/>
  <c r="AF37" i="9"/>
  <c r="AF38" i="9"/>
  <c r="AF39" i="9"/>
  <c r="AF40" i="9"/>
  <c r="AF41" i="9"/>
  <c r="AF42" i="9"/>
  <c r="AF43" i="9"/>
  <c r="AF44" i="9"/>
  <c r="AF45" i="9"/>
  <c r="AF46" i="9"/>
  <c r="AF47" i="9"/>
  <c r="AF48" i="9"/>
  <c r="AF49" i="9"/>
  <c r="AF50" i="9"/>
  <c r="AF51" i="9"/>
  <c r="AF52" i="9"/>
  <c r="AF53" i="9"/>
  <c r="AF54" i="9"/>
  <c r="AF55" i="9"/>
  <c r="AF56" i="9"/>
  <c r="AF57" i="9"/>
  <c r="AF58" i="9"/>
  <c r="AF59" i="9"/>
  <c r="AF60" i="9"/>
  <c r="AF61" i="9"/>
  <c r="AF62" i="9"/>
  <c r="AF63" i="9"/>
  <c r="AF64" i="9"/>
  <c r="AF65" i="9"/>
  <c r="AF66" i="9"/>
  <c r="AF2" i="9"/>
  <c r="AG3" i="9"/>
  <c r="AG4" i="9"/>
  <c r="AG5" i="9"/>
  <c r="AG6" i="9"/>
  <c r="AG7" i="9"/>
  <c r="AG8" i="9"/>
  <c r="AG9" i="9"/>
  <c r="AG10" i="9"/>
  <c r="AG11" i="9"/>
  <c r="AG12" i="9"/>
  <c r="AG13" i="9"/>
  <c r="AG14" i="9"/>
  <c r="AG15" i="9"/>
  <c r="AG16" i="9"/>
  <c r="AG17" i="9"/>
  <c r="AG18" i="9"/>
  <c r="AG19" i="9"/>
  <c r="AG20" i="9"/>
  <c r="AG21" i="9"/>
  <c r="AG22" i="9"/>
  <c r="AG23" i="9"/>
  <c r="AG24" i="9"/>
  <c r="AG25" i="9"/>
  <c r="AG26" i="9"/>
  <c r="AG27" i="9"/>
  <c r="AG28" i="9"/>
  <c r="AG29" i="9"/>
  <c r="AG30" i="9"/>
  <c r="AG31" i="9"/>
  <c r="AG32" i="9"/>
  <c r="AG33" i="9"/>
  <c r="AG34" i="9"/>
  <c r="AG35" i="9"/>
  <c r="AG36" i="9"/>
  <c r="AG37" i="9"/>
  <c r="AG38" i="9"/>
  <c r="AG39" i="9"/>
  <c r="AG40" i="9"/>
  <c r="AG41" i="9"/>
  <c r="AG42" i="9"/>
  <c r="AG43" i="9"/>
  <c r="AG44" i="9"/>
  <c r="AG45" i="9"/>
  <c r="AG46" i="9"/>
  <c r="AG47" i="9"/>
  <c r="AG48" i="9"/>
  <c r="AG49" i="9"/>
  <c r="AG50" i="9"/>
  <c r="AG51" i="9"/>
  <c r="AG52" i="9"/>
  <c r="AG53" i="9"/>
  <c r="AG54" i="9"/>
  <c r="AG55" i="9"/>
  <c r="AG56" i="9"/>
  <c r="AG57" i="9"/>
  <c r="AG58" i="9"/>
  <c r="AG59" i="9"/>
  <c r="AG60" i="9"/>
  <c r="AG61" i="9"/>
  <c r="AG62" i="9"/>
  <c r="AG63" i="9"/>
  <c r="AG64" i="9"/>
  <c r="AG65" i="9"/>
  <c r="AG66" i="9"/>
  <c r="AG2" i="9"/>
  <c r="CD16" i="9"/>
  <c r="BV16" i="9"/>
  <c r="BU16" i="9"/>
  <c r="CD3" i="9"/>
  <c r="CD4" i="9"/>
  <c r="CD5" i="9"/>
  <c r="CD6" i="9"/>
  <c r="CD7" i="9"/>
  <c r="CD8" i="9"/>
  <c r="CD9" i="9"/>
  <c r="CD10" i="9"/>
  <c r="CD11" i="9"/>
  <c r="CD12" i="9"/>
  <c r="CD13" i="9"/>
  <c r="CD14" i="9"/>
  <c r="CD15" i="9"/>
  <c r="CD17" i="9"/>
  <c r="CD18" i="9"/>
  <c r="CD19" i="9"/>
  <c r="CD20" i="9"/>
  <c r="CD21" i="9"/>
  <c r="CD22" i="9"/>
  <c r="CD23" i="9"/>
  <c r="CD24" i="9"/>
  <c r="CD25" i="9"/>
  <c r="CD26" i="9"/>
  <c r="CD27" i="9"/>
  <c r="CD28" i="9"/>
  <c r="CD29" i="9"/>
  <c r="CD30" i="9"/>
  <c r="CD31" i="9"/>
  <c r="CD32" i="9"/>
  <c r="CD33" i="9"/>
  <c r="CD34" i="9"/>
  <c r="CD35" i="9"/>
  <c r="CD36" i="9"/>
  <c r="CD37" i="9"/>
  <c r="CD38" i="9"/>
  <c r="CD39" i="9"/>
  <c r="CD40" i="9"/>
  <c r="CD41" i="9"/>
  <c r="CD42" i="9"/>
  <c r="CD43" i="9"/>
  <c r="CD44" i="9"/>
  <c r="CD45" i="9"/>
  <c r="CD46" i="9"/>
  <c r="CD47" i="9"/>
  <c r="CD48" i="9"/>
  <c r="CD49" i="9"/>
  <c r="CD50" i="9"/>
  <c r="CD51" i="9"/>
  <c r="CD52" i="9"/>
  <c r="CD53" i="9"/>
  <c r="CD54" i="9"/>
  <c r="CD55" i="9"/>
  <c r="CD56" i="9"/>
  <c r="CD57" i="9"/>
  <c r="CD58" i="9"/>
  <c r="CD59" i="9"/>
  <c r="CD60" i="9"/>
  <c r="CD61" i="9"/>
  <c r="CD62" i="9"/>
  <c r="CD63" i="9"/>
  <c r="CD64" i="9"/>
  <c r="CD65" i="9"/>
  <c r="CD66" i="9"/>
  <c r="CD2" i="9"/>
  <c r="BU3" i="9"/>
  <c r="BV3" i="9"/>
  <c r="BU4" i="9"/>
  <c r="BV4" i="9"/>
  <c r="BU5" i="9"/>
  <c r="BV5" i="9"/>
  <c r="BU6" i="9"/>
  <c r="BV6" i="9"/>
  <c r="BU7" i="9"/>
  <c r="BV7" i="9"/>
  <c r="BU8" i="9"/>
  <c r="BV8" i="9"/>
  <c r="BU9" i="9"/>
  <c r="BV9" i="9"/>
  <c r="BU10" i="9"/>
  <c r="BV10" i="9"/>
  <c r="BU11" i="9"/>
  <c r="BV11" i="9"/>
  <c r="BU12" i="9"/>
  <c r="BV12" i="9"/>
  <c r="BU13" i="9"/>
  <c r="BV13" i="9"/>
  <c r="BU14" i="9"/>
  <c r="BV14" i="9"/>
  <c r="BU15" i="9"/>
  <c r="BV15" i="9"/>
  <c r="BU17" i="9"/>
  <c r="BV17" i="9"/>
  <c r="BU18" i="9"/>
  <c r="BV18" i="9"/>
  <c r="BU19" i="9"/>
  <c r="BV19" i="9"/>
  <c r="BU20" i="9"/>
  <c r="BV20" i="9"/>
  <c r="BU21" i="9"/>
  <c r="BV21" i="9"/>
  <c r="BU22" i="9"/>
  <c r="BV22" i="9"/>
  <c r="BU23" i="9"/>
  <c r="BV23" i="9"/>
  <c r="BU24" i="9"/>
  <c r="BV24" i="9"/>
  <c r="BU25" i="9"/>
  <c r="BV25" i="9"/>
  <c r="BU26" i="9"/>
  <c r="BV26" i="9"/>
  <c r="BU27" i="9"/>
  <c r="BV27" i="9"/>
  <c r="BU28" i="9"/>
  <c r="BV28" i="9"/>
  <c r="BU29" i="9"/>
  <c r="BV29" i="9"/>
  <c r="BU30" i="9"/>
  <c r="BV30" i="9"/>
  <c r="BU31" i="9"/>
  <c r="BV31" i="9"/>
  <c r="BU32" i="9"/>
  <c r="BV32" i="9"/>
  <c r="BU33" i="9"/>
  <c r="BV33" i="9"/>
  <c r="BU34" i="9"/>
  <c r="BV34" i="9"/>
  <c r="BU35" i="9"/>
  <c r="BV35" i="9"/>
  <c r="BU36" i="9"/>
  <c r="BV36" i="9"/>
  <c r="BU37" i="9"/>
  <c r="BV37" i="9"/>
  <c r="BU38" i="9"/>
  <c r="BV38" i="9"/>
  <c r="BU39" i="9"/>
  <c r="BV39" i="9"/>
  <c r="BU40" i="9"/>
  <c r="BV40" i="9"/>
  <c r="BU41" i="9"/>
  <c r="BV41" i="9"/>
  <c r="BU42" i="9"/>
  <c r="BV42" i="9"/>
  <c r="BU43" i="9"/>
  <c r="BV43" i="9"/>
  <c r="BU44" i="9"/>
  <c r="BV44" i="9"/>
  <c r="BU45" i="9"/>
  <c r="BV45" i="9"/>
  <c r="BU46" i="9"/>
  <c r="BV46" i="9"/>
  <c r="BU47" i="9"/>
  <c r="BV47" i="9"/>
  <c r="BU48" i="9"/>
  <c r="BV48" i="9"/>
  <c r="BU49" i="9"/>
  <c r="BV49" i="9"/>
  <c r="BU50" i="9"/>
  <c r="BV50" i="9"/>
  <c r="BU51" i="9"/>
  <c r="BV51" i="9"/>
  <c r="BU52" i="9"/>
  <c r="BV52" i="9"/>
  <c r="BU53" i="9"/>
  <c r="BV53" i="9"/>
  <c r="BU54" i="9"/>
  <c r="BV54" i="9"/>
  <c r="BU55" i="9"/>
  <c r="BV55" i="9"/>
  <c r="BU56" i="9"/>
  <c r="BV56" i="9"/>
  <c r="BU57" i="9"/>
  <c r="BV57" i="9"/>
  <c r="BU58" i="9"/>
  <c r="BV58" i="9"/>
  <c r="BU59" i="9"/>
  <c r="BV59" i="9"/>
  <c r="BU60" i="9"/>
  <c r="BV60" i="9"/>
  <c r="BU61" i="9"/>
  <c r="BV61" i="9"/>
  <c r="BU62" i="9"/>
  <c r="BV62" i="9"/>
  <c r="BU63" i="9"/>
  <c r="BV63" i="9"/>
  <c r="BU64" i="9"/>
  <c r="BV64" i="9"/>
  <c r="BU65" i="9"/>
  <c r="BV65" i="9"/>
  <c r="BU66" i="9"/>
  <c r="BV66" i="9"/>
  <c r="BV2" i="9"/>
  <c r="BU2" i="9"/>
  <c r="AU26" i="9"/>
  <c r="AU27" i="9"/>
  <c r="AU28" i="9"/>
  <c r="AU29" i="9"/>
  <c r="AU30" i="9"/>
  <c r="AU31" i="9"/>
  <c r="AU24" i="9"/>
  <c r="AU25" i="9"/>
  <c r="AU32" i="9"/>
  <c r="AU33" i="9"/>
  <c r="AU34" i="9"/>
  <c r="AU35" i="9"/>
  <c r="AU36" i="9"/>
  <c r="AU37" i="9"/>
  <c r="AU38" i="9"/>
  <c r="AU39" i="9"/>
  <c r="AU40" i="9"/>
  <c r="AU41" i="9"/>
  <c r="AU42" i="9"/>
  <c r="AU43" i="9"/>
  <c r="AU44" i="9"/>
  <c r="AU45" i="9"/>
  <c r="AU46" i="9"/>
  <c r="AU47" i="9"/>
  <c r="AU48" i="9"/>
  <c r="AU49" i="9"/>
  <c r="AU50" i="9"/>
  <c r="AU51" i="9"/>
  <c r="AU52" i="9"/>
  <c r="AU53" i="9"/>
  <c r="AU55" i="9"/>
  <c r="AU56" i="9"/>
  <c r="AU57" i="9"/>
  <c r="AU58" i="9"/>
  <c r="AU59" i="9"/>
  <c r="AU60" i="9"/>
  <c r="AU61" i="9"/>
  <c r="AU62" i="9"/>
  <c r="AU63" i="9"/>
  <c r="AU64" i="9"/>
  <c r="AU65" i="9"/>
  <c r="AU66" i="9"/>
  <c r="AU23" i="9"/>
  <c r="AU22" i="9"/>
  <c r="U63" i="2"/>
  <c r="AO16" i="9" l="1"/>
  <c r="BC16" i="9" s="1"/>
  <c r="BO16" i="9" s="1"/>
  <c r="AI16" i="9"/>
  <c r="AW16" i="9" s="1"/>
  <c r="BI16" i="9" s="1"/>
  <c r="AR16" i="9"/>
  <c r="BF16" i="9" s="1"/>
  <c r="BR16" i="9" s="1"/>
  <c r="AH2" i="9"/>
  <c r="AJ16" i="9"/>
  <c r="AX16" i="9" s="1"/>
  <c r="BJ16" i="9" s="1"/>
  <c r="AL16" i="9"/>
  <c r="AZ16" i="9" s="1"/>
  <c r="BL16" i="9" s="1"/>
  <c r="AS16" i="9"/>
  <c r="BG16" i="9" s="1"/>
  <c r="BS16" i="9" s="1"/>
  <c r="AK16" i="9"/>
  <c r="AY16" i="9" s="1"/>
  <c r="BK16" i="9" s="1"/>
  <c r="AM16" i="9"/>
  <c r="BA16" i="9" s="1"/>
  <c r="BM16" i="9" s="1"/>
  <c r="AN16" i="9"/>
  <c r="BB16" i="9" s="1"/>
  <c r="BN16" i="9" s="1"/>
  <c r="AP16" i="9"/>
  <c r="BD16" i="9" s="1"/>
  <c r="BP16" i="9" s="1"/>
  <c r="AH16" i="9"/>
  <c r="AV16" i="9" s="1"/>
  <c r="BH16" i="9" s="1"/>
  <c r="AQ16" i="9"/>
  <c r="BE16" i="9" s="1"/>
  <c r="BQ16" i="9" s="1"/>
  <c r="AL55" i="9"/>
  <c r="AZ55" i="9" s="1"/>
  <c r="BL55" i="9" s="1"/>
  <c r="AQ41" i="9"/>
  <c r="BE41" i="9" s="1"/>
  <c r="BQ41" i="9" s="1"/>
  <c r="AM13" i="9"/>
  <c r="BA13" i="9" s="1"/>
  <c r="BM13" i="9" s="1"/>
  <c r="AJ19" i="9"/>
  <c r="AX19" i="9" s="1"/>
  <c r="BJ19" i="9" s="1"/>
  <c r="AH23" i="9"/>
  <c r="AV23" i="9" s="1"/>
  <c r="BH23" i="9" s="1"/>
  <c r="AL63" i="9"/>
  <c r="AZ63" i="9" s="1"/>
  <c r="BL63" i="9" s="1"/>
  <c r="AM20" i="9"/>
  <c r="BA20" i="9" s="1"/>
  <c r="BM20" i="9" s="1"/>
  <c r="AM36" i="9"/>
  <c r="BA36" i="9" s="1"/>
  <c r="BM36" i="9" s="1"/>
  <c r="AI56" i="9"/>
  <c r="AW56" i="9" s="1"/>
  <c r="BI56" i="9" s="1"/>
  <c r="AQ60" i="9"/>
  <c r="BE60" i="9" s="1"/>
  <c r="BQ60" i="9" s="1"/>
  <c r="AI64" i="9"/>
  <c r="AW64" i="9" s="1"/>
  <c r="BI64" i="9" s="1"/>
  <c r="AS55" i="9"/>
  <c r="BG55" i="9" s="1"/>
  <c r="BS55" i="9" s="1"/>
  <c r="AQ51" i="9"/>
  <c r="BE51" i="9" s="1"/>
  <c r="BQ51" i="9" s="1"/>
  <c r="AJ17" i="9"/>
  <c r="AX17" i="9" s="1"/>
  <c r="BJ17" i="9" s="1"/>
  <c r="AL22" i="9"/>
  <c r="AZ22" i="9" s="1"/>
  <c r="BL22" i="9" s="1"/>
  <c r="AM30" i="9"/>
  <c r="BA30" i="9" s="1"/>
  <c r="BM30" i="9" s="1"/>
  <c r="AL34" i="9"/>
  <c r="AZ34" i="9" s="1"/>
  <c r="BL34" i="9" s="1"/>
  <c r="AL38" i="9"/>
  <c r="AZ38" i="9" s="1"/>
  <c r="BL38" i="9" s="1"/>
  <c r="AM46" i="9"/>
  <c r="BA46" i="9" s="1"/>
  <c r="BM46" i="9" s="1"/>
  <c r="AL50" i="9"/>
  <c r="AZ50" i="9" s="1"/>
  <c r="BL50" i="9" s="1"/>
  <c r="AJ54" i="9"/>
  <c r="AX54" i="9" s="1"/>
  <c r="BJ54" i="9" s="1"/>
  <c r="AJ58" i="9"/>
  <c r="AX58" i="9" s="1"/>
  <c r="BJ58" i="9" s="1"/>
  <c r="AJ62" i="9"/>
  <c r="AX62" i="9" s="1"/>
  <c r="BJ62" i="9" s="1"/>
  <c r="AJ66" i="9"/>
  <c r="AX66" i="9" s="1"/>
  <c r="BJ66" i="9" s="1"/>
  <c r="AQ66" i="9"/>
  <c r="BE66" i="9" s="1"/>
  <c r="BQ66" i="9" s="1"/>
  <c r="AI54" i="9"/>
  <c r="AW54" i="9" s="1"/>
  <c r="BI54" i="9" s="1"/>
  <c r="AH27" i="9"/>
  <c r="AV27" i="9" s="1"/>
  <c r="BH27" i="9" s="1"/>
  <c r="AQ31" i="9"/>
  <c r="BE31" i="9" s="1"/>
  <c r="BQ31" i="9" s="1"/>
  <c r="AJ35" i="9"/>
  <c r="AX35" i="9" s="1"/>
  <c r="BJ35" i="9" s="1"/>
  <c r="AH39" i="9"/>
  <c r="AV39" i="9" s="1"/>
  <c r="BH39" i="9" s="1"/>
  <c r="AH43" i="9"/>
  <c r="AV43" i="9" s="1"/>
  <c r="BH43" i="9" s="1"/>
  <c r="AQ47" i="9"/>
  <c r="BE47" i="9" s="1"/>
  <c r="BQ47" i="9" s="1"/>
  <c r="AI51" i="9"/>
  <c r="AW51" i="9" s="1"/>
  <c r="BI51" i="9" s="1"/>
  <c r="AN55" i="9"/>
  <c r="BB55" i="9" s="1"/>
  <c r="BN55" i="9" s="1"/>
  <c r="AN59" i="9"/>
  <c r="BB59" i="9" s="1"/>
  <c r="BN59" i="9" s="1"/>
  <c r="AN63" i="9"/>
  <c r="BB63" i="9" s="1"/>
  <c r="BN63" i="9" s="1"/>
  <c r="AK63" i="9"/>
  <c r="AY63" i="9" s="1"/>
  <c r="BK63" i="9" s="1"/>
  <c r="AI47" i="9"/>
  <c r="AW47" i="9" s="1"/>
  <c r="BI47" i="9" s="1"/>
  <c r="AP17" i="9"/>
  <c r="BD17" i="9" s="1"/>
  <c r="BP17" i="9" s="1"/>
  <c r="AM59" i="9"/>
  <c r="BA59" i="9" s="1"/>
  <c r="BM59" i="9" s="1"/>
  <c r="AR39" i="9"/>
  <c r="BF39" i="9" s="1"/>
  <c r="BR39" i="9" s="1"/>
  <c r="AL59" i="9"/>
  <c r="AZ59" i="9" s="1"/>
  <c r="BL59" i="9" s="1"/>
  <c r="AI31" i="9"/>
  <c r="AW31" i="9" s="1"/>
  <c r="BI31" i="9" s="1"/>
  <c r="AR21" i="9"/>
  <c r="BF21" i="9" s="1"/>
  <c r="BR21" i="9" s="1"/>
  <c r="AP25" i="9"/>
  <c r="BD25" i="9" s="1"/>
  <c r="BP25" i="9" s="1"/>
  <c r="AI29" i="9"/>
  <c r="AW29" i="9" s="1"/>
  <c r="BI29" i="9" s="1"/>
  <c r="AH33" i="9"/>
  <c r="AV33" i="9" s="1"/>
  <c r="BH33" i="9" s="1"/>
  <c r="AR37" i="9"/>
  <c r="BF37" i="9" s="1"/>
  <c r="BR37" i="9" s="1"/>
  <c r="AP41" i="9"/>
  <c r="BD41" i="9" s="1"/>
  <c r="BP41" i="9" s="1"/>
  <c r="AI45" i="9"/>
  <c r="AW45" i="9" s="1"/>
  <c r="BI45" i="9" s="1"/>
  <c r="AH49" i="9"/>
  <c r="AV49" i="9" s="1"/>
  <c r="BH49" i="9" s="1"/>
  <c r="AI53" i="9"/>
  <c r="AW53" i="9" s="1"/>
  <c r="BI53" i="9" s="1"/>
  <c r="AL57" i="9"/>
  <c r="AZ57" i="9" s="1"/>
  <c r="BL57" i="9" s="1"/>
  <c r="AL61" i="9"/>
  <c r="AZ61" i="9" s="1"/>
  <c r="BL61" i="9" s="1"/>
  <c r="AL65" i="9"/>
  <c r="AZ65" i="9" s="1"/>
  <c r="BL65" i="9" s="1"/>
  <c r="AP23" i="9"/>
  <c r="BD23" i="9" s="1"/>
  <c r="BP23" i="9" s="1"/>
  <c r="AO17" i="9"/>
  <c r="BC17" i="9" s="1"/>
  <c r="BO17" i="9" s="1"/>
  <c r="AP66" i="9"/>
  <c r="BD66" i="9" s="1"/>
  <c r="BP66" i="9" s="1"/>
  <c r="AH54" i="9"/>
  <c r="AV54" i="9" s="1"/>
  <c r="BH54" i="9" s="1"/>
  <c r="AQ39" i="9"/>
  <c r="BE39" i="9" s="1"/>
  <c r="BQ39" i="9" s="1"/>
  <c r="AH31" i="9"/>
  <c r="AV31" i="9" s="1"/>
  <c r="BH31" i="9" s="1"/>
  <c r="AI17" i="9"/>
  <c r="AW17" i="9" s="1"/>
  <c r="BI17" i="9" s="1"/>
  <c r="AO66" i="9"/>
  <c r="BC66" i="9" s="1"/>
  <c r="BO66" i="9" s="1"/>
  <c r="AQ62" i="9"/>
  <c r="BE62" i="9" s="1"/>
  <c r="BQ62" i="9" s="1"/>
  <c r="AK59" i="9"/>
  <c r="AY59" i="9" s="1"/>
  <c r="BK59" i="9" s="1"/>
  <c r="AM55" i="9"/>
  <c r="BA55" i="9" s="1"/>
  <c r="BM55" i="9" s="1"/>
  <c r="AR51" i="9"/>
  <c r="BF51" i="9" s="1"/>
  <c r="BR51" i="9" s="1"/>
  <c r="AH47" i="9"/>
  <c r="AV47" i="9" s="1"/>
  <c r="BH47" i="9" s="1"/>
  <c r="AP39" i="9"/>
  <c r="BD39" i="9" s="1"/>
  <c r="BP39" i="9" s="1"/>
  <c r="AN30" i="9"/>
  <c r="BB30" i="9" s="1"/>
  <c r="BN30" i="9" s="1"/>
  <c r="AH17" i="9"/>
  <c r="AV17" i="9" s="1"/>
  <c r="BH17" i="9" s="1"/>
  <c r="AI66" i="9"/>
  <c r="AW66" i="9" s="1"/>
  <c r="BI66" i="9" s="1"/>
  <c r="AP62" i="9"/>
  <c r="BD62" i="9" s="1"/>
  <c r="BP62" i="9" s="1"/>
  <c r="AQ58" i="9"/>
  <c r="BE58" i="9" s="1"/>
  <c r="BQ58" i="9" s="1"/>
  <c r="AN46" i="9"/>
  <c r="BB46" i="9" s="1"/>
  <c r="BN46" i="9" s="1"/>
  <c r="AP27" i="9"/>
  <c r="BD27" i="9" s="1"/>
  <c r="BP27" i="9" s="1"/>
  <c r="AR19" i="9"/>
  <c r="BF19" i="9" s="1"/>
  <c r="BR19" i="9" s="1"/>
  <c r="AH66" i="9"/>
  <c r="AV66" i="9" s="1"/>
  <c r="BH66" i="9" s="1"/>
  <c r="AO62" i="9"/>
  <c r="BC62" i="9" s="1"/>
  <c r="BO62" i="9" s="1"/>
  <c r="AP58" i="9"/>
  <c r="BD58" i="9" s="1"/>
  <c r="BP58" i="9" s="1"/>
  <c r="AK55" i="9"/>
  <c r="AY55" i="9" s="1"/>
  <c r="BK55" i="9" s="1"/>
  <c r="AP51" i="9"/>
  <c r="BD51" i="9" s="1"/>
  <c r="BP51" i="9" s="1"/>
  <c r="AP43" i="9"/>
  <c r="BD43" i="9" s="1"/>
  <c r="BP43" i="9" s="1"/>
  <c r="AR35" i="9"/>
  <c r="BF35" i="9" s="1"/>
  <c r="BR35" i="9" s="1"/>
  <c r="AJ27" i="9"/>
  <c r="AX27" i="9" s="1"/>
  <c r="BJ27" i="9" s="1"/>
  <c r="AI62" i="9"/>
  <c r="AW62" i="9" s="1"/>
  <c r="BI62" i="9" s="1"/>
  <c r="AO58" i="9"/>
  <c r="BC58" i="9" s="1"/>
  <c r="BO58" i="9" s="1"/>
  <c r="AQ54" i="9"/>
  <c r="BE54" i="9" s="1"/>
  <c r="BQ54" i="9" s="1"/>
  <c r="AN50" i="9"/>
  <c r="BB50" i="9" s="1"/>
  <c r="BN50" i="9" s="1"/>
  <c r="AJ43" i="9"/>
  <c r="AX43" i="9" s="1"/>
  <c r="BJ43" i="9" s="1"/>
  <c r="AN34" i="9"/>
  <c r="BB34" i="9" s="1"/>
  <c r="BN34" i="9" s="1"/>
  <c r="AI27" i="9"/>
  <c r="AW27" i="9" s="1"/>
  <c r="BI27" i="9" s="1"/>
  <c r="AS63" i="9"/>
  <c r="BG63" i="9" s="1"/>
  <c r="BS63" i="9" s="1"/>
  <c r="AH62" i="9"/>
  <c r="AV62" i="9" s="1"/>
  <c r="BH62" i="9" s="1"/>
  <c r="AI58" i="9"/>
  <c r="AW58" i="9" s="1"/>
  <c r="BI58" i="9" s="1"/>
  <c r="AP54" i="9"/>
  <c r="BD54" i="9" s="1"/>
  <c r="BP54" i="9" s="1"/>
  <c r="AM50" i="9"/>
  <c r="BA50" i="9" s="1"/>
  <c r="BM50" i="9" s="1"/>
  <c r="AI43" i="9"/>
  <c r="AW43" i="9" s="1"/>
  <c r="BI43" i="9" s="1"/>
  <c r="AM34" i="9"/>
  <c r="BA34" i="9" s="1"/>
  <c r="BM34" i="9" s="1"/>
  <c r="AR23" i="9"/>
  <c r="BF23" i="9" s="1"/>
  <c r="BR23" i="9" s="1"/>
  <c r="AQ17" i="9"/>
  <c r="BE17" i="9" s="1"/>
  <c r="BQ17" i="9" s="1"/>
  <c r="AM63" i="9"/>
  <c r="BA63" i="9" s="1"/>
  <c r="BM63" i="9" s="1"/>
  <c r="AS59" i="9"/>
  <c r="BG59" i="9" s="1"/>
  <c r="BS59" i="9" s="1"/>
  <c r="AH58" i="9"/>
  <c r="AV58" i="9" s="1"/>
  <c r="BH58" i="9" s="1"/>
  <c r="AO54" i="9"/>
  <c r="BC54" i="9" s="1"/>
  <c r="BO54" i="9" s="1"/>
  <c r="AQ23" i="9"/>
  <c r="BE23" i="9" s="1"/>
  <c r="BQ23" i="9" s="1"/>
  <c r="AO32" i="9"/>
  <c r="BC32" i="9" s="1"/>
  <c r="BO32" i="9" s="1"/>
  <c r="AH32" i="9"/>
  <c r="AV32" i="9" s="1"/>
  <c r="BH32" i="9" s="1"/>
  <c r="AP32" i="9"/>
  <c r="BD32" i="9" s="1"/>
  <c r="BP32" i="9" s="1"/>
  <c r="AI32" i="9"/>
  <c r="AW32" i="9" s="1"/>
  <c r="BI32" i="9" s="1"/>
  <c r="AQ32" i="9"/>
  <c r="BE32" i="9" s="1"/>
  <c r="BQ32" i="9" s="1"/>
  <c r="AJ32" i="9"/>
  <c r="AX32" i="9" s="1"/>
  <c r="BJ32" i="9" s="1"/>
  <c r="AR32" i="9"/>
  <c r="BF32" i="9" s="1"/>
  <c r="BR32" i="9" s="1"/>
  <c r="AK32" i="9"/>
  <c r="AY32" i="9" s="1"/>
  <c r="BK32" i="9" s="1"/>
  <c r="AS32" i="9"/>
  <c r="BG32" i="9" s="1"/>
  <c r="BS32" i="9" s="1"/>
  <c r="AN32" i="9"/>
  <c r="BB32" i="9" s="1"/>
  <c r="BN32" i="9" s="1"/>
  <c r="AL32" i="9"/>
  <c r="AZ32" i="9" s="1"/>
  <c r="BL32" i="9" s="1"/>
  <c r="AM32" i="9"/>
  <c r="BA32" i="9" s="1"/>
  <c r="BM32" i="9" s="1"/>
  <c r="AO52" i="9"/>
  <c r="BC52" i="9" s="1"/>
  <c r="BO52" i="9" s="1"/>
  <c r="AI52" i="9"/>
  <c r="AW52" i="9" s="1"/>
  <c r="BI52" i="9" s="1"/>
  <c r="AQ52" i="9"/>
  <c r="BE52" i="9" s="1"/>
  <c r="BQ52" i="9" s="1"/>
  <c r="AJ52" i="9"/>
  <c r="AX52" i="9" s="1"/>
  <c r="BJ52" i="9" s="1"/>
  <c r="AR52" i="9"/>
  <c r="BF52" i="9" s="1"/>
  <c r="BR52" i="9" s="1"/>
  <c r="AK52" i="9"/>
  <c r="AY52" i="9" s="1"/>
  <c r="BK52" i="9" s="1"/>
  <c r="AS52" i="9"/>
  <c r="BG52" i="9" s="1"/>
  <c r="BS52" i="9" s="1"/>
  <c r="AH52" i="9"/>
  <c r="AV52" i="9" s="1"/>
  <c r="BH52" i="9" s="1"/>
  <c r="AL52" i="9"/>
  <c r="AZ52" i="9" s="1"/>
  <c r="BL52" i="9" s="1"/>
  <c r="AM52" i="9"/>
  <c r="BA52" i="9" s="1"/>
  <c r="BM52" i="9" s="1"/>
  <c r="AN52" i="9"/>
  <c r="BB52" i="9" s="1"/>
  <c r="BN52" i="9" s="1"/>
  <c r="AP52" i="9"/>
  <c r="BD52" i="9" s="1"/>
  <c r="BP52" i="9" s="1"/>
  <c r="AI21" i="9"/>
  <c r="AW21" i="9" s="1"/>
  <c r="BI21" i="9" s="1"/>
  <c r="AN57" i="9"/>
  <c r="BB57" i="9" s="1"/>
  <c r="BN57" i="9" s="1"/>
  <c r="AQ25" i="9"/>
  <c r="BE25" i="9" s="1"/>
  <c r="BQ25" i="9" s="1"/>
  <c r="AO28" i="9"/>
  <c r="BC28" i="9" s="1"/>
  <c r="BO28" i="9" s="1"/>
  <c r="AH28" i="9"/>
  <c r="AV28" i="9" s="1"/>
  <c r="BH28" i="9" s="1"/>
  <c r="AP28" i="9"/>
  <c r="BD28" i="9" s="1"/>
  <c r="BP28" i="9" s="1"/>
  <c r="AI28" i="9"/>
  <c r="AW28" i="9" s="1"/>
  <c r="BI28" i="9" s="1"/>
  <c r="AQ28" i="9"/>
  <c r="BE28" i="9" s="1"/>
  <c r="BQ28" i="9" s="1"/>
  <c r="AJ28" i="9"/>
  <c r="AX28" i="9" s="1"/>
  <c r="BJ28" i="9" s="1"/>
  <c r="AR28" i="9"/>
  <c r="BF28" i="9" s="1"/>
  <c r="BR28" i="9" s="1"/>
  <c r="AK28" i="9"/>
  <c r="AY28" i="9" s="1"/>
  <c r="BK28" i="9" s="1"/>
  <c r="AS28" i="9"/>
  <c r="BG28" i="9" s="1"/>
  <c r="BS28" i="9" s="1"/>
  <c r="AL28" i="9"/>
  <c r="AZ28" i="9" s="1"/>
  <c r="BL28" i="9" s="1"/>
  <c r="AM28" i="9"/>
  <c r="BA28" i="9" s="1"/>
  <c r="BM28" i="9" s="1"/>
  <c r="AN28" i="9"/>
  <c r="BB28" i="9" s="1"/>
  <c r="BN28" i="9" s="1"/>
  <c r="AO48" i="9"/>
  <c r="BC48" i="9" s="1"/>
  <c r="BO48" i="9" s="1"/>
  <c r="AH48" i="9"/>
  <c r="AV48" i="9" s="1"/>
  <c r="BH48" i="9" s="1"/>
  <c r="AP48" i="9"/>
  <c r="BD48" i="9" s="1"/>
  <c r="BP48" i="9" s="1"/>
  <c r="AI48" i="9"/>
  <c r="AW48" i="9" s="1"/>
  <c r="BI48" i="9" s="1"/>
  <c r="AQ48" i="9"/>
  <c r="BE48" i="9" s="1"/>
  <c r="BQ48" i="9" s="1"/>
  <c r="AJ48" i="9"/>
  <c r="AX48" i="9" s="1"/>
  <c r="BJ48" i="9" s="1"/>
  <c r="AR48" i="9"/>
  <c r="BF48" i="9" s="1"/>
  <c r="BR48" i="9" s="1"/>
  <c r="AK48" i="9"/>
  <c r="AY48" i="9" s="1"/>
  <c r="BK48" i="9" s="1"/>
  <c r="AS48" i="9"/>
  <c r="BG48" i="9" s="1"/>
  <c r="BS48" i="9" s="1"/>
  <c r="AM48" i="9"/>
  <c r="BA48" i="9" s="1"/>
  <c r="BM48" i="9" s="1"/>
  <c r="AN48" i="9"/>
  <c r="BB48" i="9" s="1"/>
  <c r="BN48" i="9" s="1"/>
  <c r="AL48" i="9"/>
  <c r="AZ48" i="9" s="1"/>
  <c r="BL48" i="9" s="1"/>
  <c r="AR45" i="9"/>
  <c r="BF45" i="9" s="1"/>
  <c r="BR45" i="9" s="1"/>
  <c r="AN65" i="9"/>
  <c r="BB65" i="9" s="1"/>
  <c r="BN65" i="9" s="1"/>
  <c r="AO20" i="9"/>
  <c r="BC20" i="9" s="1"/>
  <c r="BO20" i="9" s="1"/>
  <c r="AH20" i="9"/>
  <c r="AV20" i="9" s="1"/>
  <c r="BH20" i="9" s="1"/>
  <c r="AP20" i="9"/>
  <c r="BD20" i="9" s="1"/>
  <c r="BP20" i="9" s="1"/>
  <c r="AI20" i="9"/>
  <c r="AW20" i="9" s="1"/>
  <c r="BI20" i="9" s="1"/>
  <c r="AQ20" i="9"/>
  <c r="BE20" i="9" s="1"/>
  <c r="BQ20" i="9" s="1"/>
  <c r="AJ20" i="9"/>
  <c r="AX20" i="9" s="1"/>
  <c r="BJ20" i="9" s="1"/>
  <c r="AR20" i="9"/>
  <c r="BF20" i="9" s="1"/>
  <c r="BR20" i="9" s="1"/>
  <c r="AK20" i="9"/>
  <c r="AY20" i="9" s="1"/>
  <c r="BK20" i="9" s="1"/>
  <c r="AS20" i="9"/>
  <c r="BG20" i="9" s="1"/>
  <c r="BS20" i="9" s="1"/>
  <c r="AN20" i="9"/>
  <c r="BB20" i="9" s="1"/>
  <c r="BN20" i="9" s="1"/>
  <c r="AL20" i="9"/>
  <c r="AZ20" i="9" s="1"/>
  <c r="BL20" i="9" s="1"/>
  <c r="AO40" i="9"/>
  <c r="BC40" i="9" s="1"/>
  <c r="BO40" i="9" s="1"/>
  <c r="AH40" i="9"/>
  <c r="AV40" i="9" s="1"/>
  <c r="BH40" i="9" s="1"/>
  <c r="AP40" i="9"/>
  <c r="BD40" i="9" s="1"/>
  <c r="BP40" i="9" s="1"/>
  <c r="AI40" i="9"/>
  <c r="AW40" i="9" s="1"/>
  <c r="BI40" i="9" s="1"/>
  <c r="AQ40" i="9"/>
  <c r="BE40" i="9" s="1"/>
  <c r="BQ40" i="9" s="1"/>
  <c r="AJ40" i="9"/>
  <c r="AX40" i="9" s="1"/>
  <c r="BJ40" i="9" s="1"/>
  <c r="AR40" i="9"/>
  <c r="BF40" i="9" s="1"/>
  <c r="BR40" i="9" s="1"/>
  <c r="AK40" i="9"/>
  <c r="AY40" i="9" s="1"/>
  <c r="BK40" i="9" s="1"/>
  <c r="AS40" i="9"/>
  <c r="BG40" i="9" s="1"/>
  <c r="BS40" i="9" s="1"/>
  <c r="AL40" i="9"/>
  <c r="AZ40" i="9" s="1"/>
  <c r="BL40" i="9" s="1"/>
  <c r="AM40" i="9"/>
  <c r="BA40" i="9" s="1"/>
  <c r="BM40" i="9" s="1"/>
  <c r="AN40" i="9"/>
  <c r="BB40" i="9" s="1"/>
  <c r="BN40" i="9" s="1"/>
  <c r="AJ60" i="9"/>
  <c r="AX60" i="9" s="1"/>
  <c r="BJ60" i="9" s="1"/>
  <c r="AR60" i="9"/>
  <c r="BF60" i="9" s="1"/>
  <c r="BR60" i="9" s="1"/>
  <c r="AO60" i="9"/>
  <c r="BC60" i="9" s="1"/>
  <c r="BO60" i="9" s="1"/>
  <c r="AP60" i="9"/>
  <c r="BD60" i="9" s="1"/>
  <c r="BP60" i="9" s="1"/>
  <c r="AK60" i="9"/>
  <c r="AY60" i="9" s="1"/>
  <c r="BK60" i="9" s="1"/>
  <c r="AS60" i="9"/>
  <c r="BG60" i="9" s="1"/>
  <c r="BS60" i="9" s="1"/>
  <c r="AL60" i="9"/>
  <c r="AZ60" i="9" s="1"/>
  <c r="BL60" i="9" s="1"/>
  <c r="AM60" i="9"/>
  <c r="BA60" i="9" s="1"/>
  <c r="BM60" i="9" s="1"/>
  <c r="AN60" i="9"/>
  <c r="BB60" i="9" s="1"/>
  <c r="BN60" i="9" s="1"/>
  <c r="AH60" i="9"/>
  <c r="AV60" i="9" s="1"/>
  <c r="BH60" i="9" s="1"/>
  <c r="AP37" i="9"/>
  <c r="BD37" i="9" s="1"/>
  <c r="BP37" i="9" s="1"/>
  <c r="AN61" i="9"/>
  <c r="BB61" i="9" s="1"/>
  <c r="BN61" i="9" s="1"/>
  <c r="AO24" i="9"/>
  <c r="BC24" i="9" s="1"/>
  <c r="BO24" i="9" s="1"/>
  <c r="AH24" i="9"/>
  <c r="AV24" i="9" s="1"/>
  <c r="BH24" i="9" s="1"/>
  <c r="AP24" i="9"/>
  <c r="BD24" i="9" s="1"/>
  <c r="BP24" i="9" s="1"/>
  <c r="AI24" i="9"/>
  <c r="AW24" i="9" s="1"/>
  <c r="BI24" i="9" s="1"/>
  <c r="AQ24" i="9"/>
  <c r="BE24" i="9" s="1"/>
  <c r="BQ24" i="9" s="1"/>
  <c r="AJ24" i="9"/>
  <c r="AX24" i="9" s="1"/>
  <c r="BJ24" i="9" s="1"/>
  <c r="AR24" i="9"/>
  <c r="BF24" i="9" s="1"/>
  <c r="BR24" i="9" s="1"/>
  <c r="AK24" i="9"/>
  <c r="AY24" i="9" s="1"/>
  <c r="BK24" i="9" s="1"/>
  <c r="AS24" i="9"/>
  <c r="BG24" i="9" s="1"/>
  <c r="BS24" i="9" s="1"/>
  <c r="AL24" i="9"/>
  <c r="AZ24" i="9" s="1"/>
  <c r="BL24" i="9" s="1"/>
  <c r="AM24" i="9"/>
  <c r="BA24" i="9" s="1"/>
  <c r="BM24" i="9" s="1"/>
  <c r="AN24" i="9"/>
  <c r="BB24" i="9" s="1"/>
  <c r="BN24" i="9" s="1"/>
  <c r="AO44" i="9"/>
  <c r="BC44" i="9" s="1"/>
  <c r="BO44" i="9" s="1"/>
  <c r="AH44" i="9"/>
  <c r="AV44" i="9" s="1"/>
  <c r="BH44" i="9" s="1"/>
  <c r="AP44" i="9"/>
  <c r="BD44" i="9" s="1"/>
  <c r="BP44" i="9" s="1"/>
  <c r="AI44" i="9"/>
  <c r="AW44" i="9" s="1"/>
  <c r="BI44" i="9" s="1"/>
  <c r="AQ44" i="9"/>
  <c r="BE44" i="9" s="1"/>
  <c r="BQ44" i="9" s="1"/>
  <c r="AJ44" i="9"/>
  <c r="AX44" i="9" s="1"/>
  <c r="BJ44" i="9" s="1"/>
  <c r="AR44" i="9"/>
  <c r="BF44" i="9" s="1"/>
  <c r="BR44" i="9" s="1"/>
  <c r="AK44" i="9"/>
  <c r="AY44" i="9" s="1"/>
  <c r="BK44" i="9" s="1"/>
  <c r="AS44" i="9"/>
  <c r="BG44" i="9" s="1"/>
  <c r="BS44" i="9" s="1"/>
  <c r="AL44" i="9"/>
  <c r="AZ44" i="9" s="1"/>
  <c r="BL44" i="9" s="1"/>
  <c r="AM44" i="9"/>
  <c r="BA44" i="9" s="1"/>
  <c r="BM44" i="9" s="1"/>
  <c r="AN44" i="9"/>
  <c r="BB44" i="9" s="1"/>
  <c r="BN44" i="9" s="1"/>
  <c r="AJ56" i="9"/>
  <c r="AX56" i="9" s="1"/>
  <c r="BJ56" i="9" s="1"/>
  <c r="AR56" i="9"/>
  <c r="BF56" i="9" s="1"/>
  <c r="BR56" i="9" s="1"/>
  <c r="AK56" i="9"/>
  <c r="AY56" i="9" s="1"/>
  <c r="BK56" i="9" s="1"/>
  <c r="AS56" i="9"/>
  <c r="BG56" i="9" s="1"/>
  <c r="BS56" i="9" s="1"/>
  <c r="AL56" i="9"/>
  <c r="AZ56" i="9" s="1"/>
  <c r="BL56" i="9" s="1"/>
  <c r="AP56" i="9"/>
  <c r="BD56" i="9" s="1"/>
  <c r="BP56" i="9" s="1"/>
  <c r="AM56" i="9"/>
  <c r="BA56" i="9" s="1"/>
  <c r="BM56" i="9" s="1"/>
  <c r="AN56" i="9"/>
  <c r="BB56" i="9" s="1"/>
  <c r="BN56" i="9" s="1"/>
  <c r="AO56" i="9"/>
  <c r="BC56" i="9" s="1"/>
  <c r="BO56" i="9" s="1"/>
  <c r="AH56" i="9"/>
  <c r="AV56" i="9" s="1"/>
  <c r="BH56" i="9" s="1"/>
  <c r="AM61" i="9"/>
  <c r="BA61" i="9" s="1"/>
  <c r="BM61" i="9" s="1"/>
  <c r="AJ53" i="9"/>
  <c r="AX53" i="9" s="1"/>
  <c r="BJ53" i="9" s="1"/>
  <c r="AJ25" i="9"/>
  <c r="AX25" i="9" s="1"/>
  <c r="BJ25" i="9" s="1"/>
  <c r="AQ49" i="9"/>
  <c r="BE49" i="9" s="1"/>
  <c r="BQ49" i="9" s="1"/>
  <c r="AI60" i="9"/>
  <c r="AW60" i="9" s="1"/>
  <c r="BI60" i="9" s="1"/>
  <c r="AJ45" i="9"/>
  <c r="AX45" i="9" s="1"/>
  <c r="BJ45" i="9" s="1"/>
  <c r="AM65" i="9"/>
  <c r="BA65" i="9" s="1"/>
  <c r="BM65" i="9" s="1"/>
  <c r="AM57" i="9"/>
  <c r="BA57" i="9" s="1"/>
  <c r="BM57" i="9" s="1"/>
  <c r="AO36" i="9"/>
  <c r="BC36" i="9" s="1"/>
  <c r="BO36" i="9" s="1"/>
  <c r="AH36" i="9"/>
  <c r="AV36" i="9" s="1"/>
  <c r="BH36" i="9" s="1"/>
  <c r="AP36" i="9"/>
  <c r="BD36" i="9" s="1"/>
  <c r="BP36" i="9" s="1"/>
  <c r="AI36" i="9"/>
  <c r="AW36" i="9" s="1"/>
  <c r="BI36" i="9" s="1"/>
  <c r="AQ36" i="9"/>
  <c r="BE36" i="9" s="1"/>
  <c r="BQ36" i="9" s="1"/>
  <c r="AJ36" i="9"/>
  <c r="AX36" i="9" s="1"/>
  <c r="BJ36" i="9" s="1"/>
  <c r="AR36" i="9"/>
  <c r="BF36" i="9" s="1"/>
  <c r="BR36" i="9" s="1"/>
  <c r="AK36" i="9"/>
  <c r="AY36" i="9" s="1"/>
  <c r="BK36" i="9" s="1"/>
  <c r="AS36" i="9"/>
  <c r="BG36" i="9" s="1"/>
  <c r="BS36" i="9" s="1"/>
  <c r="AN36" i="9"/>
  <c r="BB36" i="9" s="1"/>
  <c r="BN36" i="9" s="1"/>
  <c r="AL36" i="9"/>
  <c r="AZ36" i="9" s="1"/>
  <c r="BL36" i="9" s="1"/>
  <c r="AJ64" i="9"/>
  <c r="AX64" i="9" s="1"/>
  <c r="BJ64" i="9" s="1"/>
  <c r="AR64" i="9"/>
  <c r="BF64" i="9" s="1"/>
  <c r="BR64" i="9" s="1"/>
  <c r="AK64" i="9"/>
  <c r="AY64" i="9" s="1"/>
  <c r="BK64" i="9" s="1"/>
  <c r="AS64" i="9"/>
  <c r="BG64" i="9" s="1"/>
  <c r="BS64" i="9" s="1"/>
  <c r="AO64" i="9"/>
  <c r="BC64" i="9" s="1"/>
  <c r="BO64" i="9" s="1"/>
  <c r="AP64" i="9"/>
  <c r="BD64" i="9" s="1"/>
  <c r="BP64" i="9" s="1"/>
  <c r="AL64" i="9"/>
  <c r="AZ64" i="9" s="1"/>
  <c r="BL64" i="9" s="1"/>
  <c r="AH64" i="9"/>
  <c r="AV64" i="9" s="1"/>
  <c r="BH64" i="9" s="1"/>
  <c r="AM64" i="9"/>
  <c r="BA64" i="9" s="1"/>
  <c r="BM64" i="9" s="1"/>
  <c r="AN64" i="9"/>
  <c r="BB64" i="9" s="1"/>
  <c r="BN64" i="9" s="1"/>
  <c r="AH41" i="9"/>
  <c r="AV41" i="9" s="1"/>
  <c r="BH41" i="9" s="1"/>
  <c r="AL53" i="9"/>
  <c r="AZ53" i="9" s="1"/>
  <c r="BL53" i="9" s="1"/>
  <c r="AQ64" i="9"/>
  <c r="BE64" i="9" s="1"/>
  <c r="BQ64" i="9" s="1"/>
  <c r="AQ56" i="9"/>
  <c r="BE56" i="9" s="1"/>
  <c r="BQ56" i="9" s="1"/>
  <c r="AJ29" i="9"/>
  <c r="AX29" i="9" s="1"/>
  <c r="BJ29" i="9" s="1"/>
  <c r="AK33" i="9"/>
  <c r="AY33" i="9" s="1"/>
  <c r="BK33" i="9" s="1"/>
  <c r="AS33" i="9"/>
  <c r="BG33" i="9" s="1"/>
  <c r="BS33" i="9" s="1"/>
  <c r="AL33" i="9"/>
  <c r="AZ33" i="9" s="1"/>
  <c r="BL33" i="9" s="1"/>
  <c r="AM33" i="9"/>
  <c r="BA33" i="9" s="1"/>
  <c r="BM33" i="9" s="1"/>
  <c r="AN33" i="9"/>
  <c r="BB33" i="9" s="1"/>
  <c r="BN33" i="9" s="1"/>
  <c r="AO33" i="9"/>
  <c r="BC33" i="9" s="1"/>
  <c r="BO33" i="9" s="1"/>
  <c r="AS57" i="9"/>
  <c r="BG57" i="9" s="1"/>
  <c r="BS57" i="9" s="1"/>
  <c r="AS53" i="9"/>
  <c r="BG53" i="9" s="1"/>
  <c r="BS53" i="9" s="1"/>
  <c r="AN17" i="9"/>
  <c r="BB17" i="9" s="1"/>
  <c r="BN17" i="9" s="1"/>
  <c r="AN66" i="9"/>
  <c r="BB66" i="9" s="1"/>
  <c r="BN66" i="9" s="1"/>
  <c r="AR65" i="9"/>
  <c r="BF65" i="9" s="1"/>
  <c r="BR65" i="9" s="1"/>
  <c r="AJ65" i="9"/>
  <c r="AX65" i="9" s="1"/>
  <c r="BJ65" i="9" s="1"/>
  <c r="AR63" i="9"/>
  <c r="BF63" i="9" s="1"/>
  <c r="BR63" i="9" s="1"/>
  <c r="AJ63" i="9"/>
  <c r="AX63" i="9" s="1"/>
  <c r="BJ63" i="9" s="1"/>
  <c r="AN62" i="9"/>
  <c r="BB62" i="9" s="1"/>
  <c r="BN62" i="9" s="1"/>
  <c r="AR61" i="9"/>
  <c r="BF61" i="9" s="1"/>
  <c r="BR61" i="9" s="1"/>
  <c r="AJ61" i="9"/>
  <c r="AX61" i="9" s="1"/>
  <c r="BJ61" i="9" s="1"/>
  <c r="AR59" i="9"/>
  <c r="BF59" i="9" s="1"/>
  <c r="BR59" i="9" s="1"/>
  <c r="AJ59" i="9"/>
  <c r="AX59" i="9" s="1"/>
  <c r="BJ59" i="9" s="1"/>
  <c r="AN58" i="9"/>
  <c r="BB58" i="9" s="1"/>
  <c r="BN58" i="9" s="1"/>
  <c r="AR57" i="9"/>
  <c r="BF57" i="9" s="1"/>
  <c r="BR57" i="9" s="1"/>
  <c r="AJ57" i="9"/>
  <c r="AX57" i="9" s="1"/>
  <c r="BJ57" i="9" s="1"/>
  <c r="AR55" i="9"/>
  <c r="BF55" i="9" s="1"/>
  <c r="BR55" i="9" s="1"/>
  <c r="AJ55" i="9"/>
  <c r="AX55" i="9" s="1"/>
  <c r="BJ55" i="9" s="1"/>
  <c r="AN54" i="9"/>
  <c r="BB54" i="9" s="1"/>
  <c r="BN54" i="9" s="1"/>
  <c r="AR53" i="9"/>
  <c r="BF53" i="9" s="1"/>
  <c r="BR53" i="9" s="1"/>
  <c r="AL51" i="9"/>
  <c r="AZ51" i="9" s="1"/>
  <c r="BL51" i="9" s="1"/>
  <c r="AR49" i="9"/>
  <c r="BF49" i="9" s="1"/>
  <c r="BR49" i="9" s="1"/>
  <c r="AI41" i="9"/>
  <c r="AW41" i="9" s="1"/>
  <c r="BI41" i="9" s="1"/>
  <c r="AJ39" i="9"/>
  <c r="AX39" i="9" s="1"/>
  <c r="BJ39" i="9" s="1"/>
  <c r="AQ35" i="9"/>
  <c r="BE35" i="9" s="1"/>
  <c r="BQ35" i="9" s="1"/>
  <c r="AR33" i="9"/>
  <c r="BF33" i="9" s="1"/>
  <c r="BR33" i="9" s="1"/>
  <c r="AI25" i="9"/>
  <c r="AW25" i="9" s="1"/>
  <c r="BI25" i="9" s="1"/>
  <c r="AJ23" i="9"/>
  <c r="AX23" i="9" s="1"/>
  <c r="BJ23" i="9" s="1"/>
  <c r="AP21" i="9"/>
  <c r="BD21" i="9" s="1"/>
  <c r="BP21" i="9" s="1"/>
  <c r="AQ19" i="9"/>
  <c r="BE19" i="9" s="1"/>
  <c r="BQ19" i="9" s="1"/>
  <c r="AK37" i="9"/>
  <c r="AY37" i="9" s="1"/>
  <c r="BK37" i="9" s="1"/>
  <c r="AS37" i="9"/>
  <c r="BG37" i="9" s="1"/>
  <c r="BS37" i="9" s="1"/>
  <c r="AL37" i="9"/>
  <c r="AZ37" i="9" s="1"/>
  <c r="BL37" i="9" s="1"/>
  <c r="AM37" i="9"/>
  <c r="BA37" i="9" s="1"/>
  <c r="BM37" i="9" s="1"/>
  <c r="AN37" i="9"/>
  <c r="BB37" i="9" s="1"/>
  <c r="BN37" i="9" s="1"/>
  <c r="AO37" i="9"/>
  <c r="BC37" i="9" s="1"/>
  <c r="BO37" i="9" s="1"/>
  <c r="AK65" i="9"/>
  <c r="AY65" i="9" s="1"/>
  <c r="BK65" i="9" s="1"/>
  <c r="AQ37" i="9"/>
  <c r="BE37" i="9" s="1"/>
  <c r="BQ37" i="9" s="1"/>
  <c r="AN12" i="9"/>
  <c r="BB12" i="9" s="1"/>
  <c r="BN12" i="9" s="1"/>
  <c r="AO22" i="9"/>
  <c r="BC22" i="9" s="1"/>
  <c r="BO22" i="9" s="1"/>
  <c r="AH22" i="9"/>
  <c r="AV22" i="9" s="1"/>
  <c r="BH22" i="9" s="1"/>
  <c r="AP22" i="9"/>
  <c r="BD22" i="9" s="1"/>
  <c r="BP22" i="9" s="1"/>
  <c r="AI22" i="9"/>
  <c r="AW22" i="9" s="1"/>
  <c r="BI22" i="9" s="1"/>
  <c r="AQ22" i="9"/>
  <c r="BE22" i="9" s="1"/>
  <c r="BQ22" i="9" s="1"/>
  <c r="AJ22" i="9"/>
  <c r="AX22" i="9" s="1"/>
  <c r="BJ22" i="9" s="1"/>
  <c r="AR22" i="9"/>
  <c r="BF22" i="9" s="1"/>
  <c r="BR22" i="9" s="1"/>
  <c r="AK22" i="9"/>
  <c r="AY22" i="9" s="1"/>
  <c r="BK22" i="9" s="1"/>
  <c r="AS22" i="9"/>
  <c r="BG22" i="9" s="1"/>
  <c r="BS22" i="9" s="1"/>
  <c r="AO26" i="9"/>
  <c r="BC26" i="9" s="1"/>
  <c r="BO26" i="9" s="1"/>
  <c r="AH26" i="9"/>
  <c r="AV26" i="9" s="1"/>
  <c r="BH26" i="9" s="1"/>
  <c r="AP26" i="9"/>
  <c r="BD26" i="9" s="1"/>
  <c r="BP26" i="9" s="1"/>
  <c r="AI26" i="9"/>
  <c r="AW26" i="9" s="1"/>
  <c r="BI26" i="9" s="1"/>
  <c r="AQ26" i="9"/>
  <c r="BE26" i="9" s="1"/>
  <c r="BQ26" i="9" s="1"/>
  <c r="AJ26" i="9"/>
  <c r="AX26" i="9" s="1"/>
  <c r="BJ26" i="9" s="1"/>
  <c r="AR26" i="9"/>
  <c r="BF26" i="9" s="1"/>
  <c r="BR26" i="9" s="1"/>
  <c r="AK26" i="9"/>
  <c r="AY26" i="9" s="1"/>
  <c r="BK26" i="9" s="1"/>
  <c r="AS26" i="9"/>
  <c r="BG26" i="9" s="1"/>
  <c r="BS26" i="9" s="1"/>
  <c r="AO30" i="9"/>
  <c r="BC30" i="9" s="1"/>
  <c r="BO30" i="9" s="1"/>
  <c r="AH30" i="9"/>
  <c r="AV30" i="9" s="1"/>
  <c r="BH30" i="9" s="1"/>
  <c r="AP30" i="9"/>
  <c r="BD30" i="9" s="1"/>
  <c r="BP30" i="9" s="1"/>
  <c r="AI30" i="9"/>
  <c r="AW30" i="9" s="1"/>
  <c r="BI30" i="9" s="1"/>
  <c r="AQ30" i="9"/>
  <c r="BE30" i="9" s="1"/>
  <c r="BQ30" i="9" s="1"/>
  <c r="AJ30" i="9"/>
  <c r="AX30" i="9" s="1"/>
  <c r="BJ30" i="9" s="1"/>
  <c r="AR30" i="9"/>
  <c r="BF30" i="9" s="1"/>
  <c r="BR30" i="9" s="1"/>
  <c r="AK30" i="9"/>
  <c r="AY30" i="9" s="1"/>
  <c r="BK30" i="9" s="1"/>
  <c r="AS30" i="9"/>
  <c r="BG30" i="9" s="1"/>
  <c r="BS30" i="9" s="1"/>
  <c r="AO34" i="9"/>
  <c r="BC34" i="9" s="1"/>
  <c r="BO34" i="9" s="1"/>
  <c r="AH34" i="9"/>
  <c r="AV34" i="9" s="1"/>
  <c r="BH34" i="9" s="1"/>
  <c r="AP34" i="9"/>
  <c r="BD34" i="9" s="1"/>
  <c r="BP34" i="9" s="1"/>
  <c r="AI34" i="9"/>
  <c r="AW34" i="9" s="1"/>
  <c r="BI34" i="9" s="1"/>
  <c r="AQ34" i="9"/>
  <c r="BE34" i="9" s="1"/>
  <c r="BQ34" i="9" s="1"/>
  <c r="AJ34" i="9"/>
  <c r="AX34" i="9" s="1"/>
  <c r="BJ34" i="9" s="1"/>
  <c r="AR34" i="9"/>
  <c r="BF34" i="9" s="1"/>
  <c r="BR34" i="9" s="1"/>
  <c r="AK34" i="9"/>
  <c r="AY34" i="9" s="1"/>
  <c r="BK34" i="9" s="1"/>
  <c r="AS34" i="9"/>
  <c r="BG34" i="9" s="1"/>
  <c r="BS34" i="9" s="1"/>
  <c r="AO38" i="9"/>
  <c r="BC38" i="9" s="1"/>
  <c r="BO38" i="9" s="1"/>
  <c r="AH38" i="9"/>
  <c r="AV38" i="9" s="1"/>
  <c r="BH38" i="9" s="1"/>
  <c r="AP38" i="9"/>
  <c r="BD38" i="9" s="1"/>
  <c r="BP38" i="9" s="1"/>
  <c r="AI38" i="9"/>
  <c r="AW38" i="9" s="1"/>
  <c r="BI38" i="9" s="1"/>
  <c r="AQ38" i="9"/>
  <c r="BE38" i="9" s="1"/>
  <c r="BQ38" i="9" s="1"/>
  <c r="AJ38" i="9"/>
  <c r="AX38" i="9" s="1"/>
  <c r="BJ38" i="9" s="1"/>
  <c r="AR38" i="9"/>
  <c r="BF38" i="9" s="1"/>
  <c r="BR38" i="9" s="1"/>
  <c r="AK38" i="9"/>
  <c r="AY38" i="9" s="1"/>
  <c r="BK38" i="9" s="1"/>
  <c r="AS38" i="9"/>
  <c r="BG38" i="9" s="1"/>
  <c r="BS38" i="9" s="1"/>
  <c r="AO42" i="9"/>
  <c r="BC42" i="9" s="1"/>
  <c r="BO42" i="9" s="1"/>
  <c r="AH42" i="9"/>
  <c r="AV42" i="9" s="1"/>
  <c r="BH42" i="9" s="1"/>
  <c r="AP42" i="9"/>
  <c r="BD42" i="9" s="1"/>
  <c r="BP42" i="9" s="1"/>
  <c r="AI42" i="9"/>
  <c r="AW42" i="9" s="1"/>
  <c r="BI42" i="9" s="1"/>
  <c r="AQ42" i="9"/>
  <c r="BE42" i="9" s="1"/>
  <c r="BQ42" i="9" s="1"/>
  <c r="AJ42" i="9"/>
  <c r="AX42" i="9" s="1"/>
  <c r="BJ42" i="9" s="1"/>
  <c r="AR42" i="9"/>
  <c r="BF42" i="9" s="1"/>
  <c r="BR42" i="9" s="1"/>
  <c r="AK42" i="9"/>
  <c r="AY42" i="9" s="1"/>
  <c r="BK42" i="9" s="1"/>
  <c r="AS42" i="9"/>
  <c r="BG42" i="9" s="1"/>
  <c r="BS42" i="9" s="1"/>
  <c r="AO46" i="9"/>
  <c r="BC46" i="9" s="1"/>
  <c r="BO46" i="9" s="1"/>
  <c r="AH46" i="9"/>
  <c r="AV46" i="9" s="1"/>
  <c r="BH46" i="9" s="1"/>
  <c r="AP46" i="9"/>
  <c r="BD46" i="9" s="1"/>
  <c r="BP46" i="9" s="1"/>
  <c r="AI46" i="9"/>
  <c r="AW46" i="9" s="1"/>
  <c r="BI46" i="9" s="1"/>
  <c r="AQ46" i="9"/>
  <c r="BE46" i="9" s="1"/>
  <c r="BQ46" i="9" s="1"/>
  <c r="AJ46" i="9"/>
  <c r="AX46" i="9" s="1"/>
  <c r="BJ46" i="9" s="1"/>
  <c r="AR46" i="9"/>
  <c r="BF46" i="9" s="1"/>
  <c r="BR46" i="9" s="1"/>
  <c r="AK46" i="9"/>
  <c r="AY46" i="9" s="1"/>
  <c r="BK46" i="9" s="1"/>
  <c r="AS46" i="9"/>
  <c r="BG46" i="9" s="1"/>
  <c r="BS46" i="9" s="1"/>
  <c r="AO50" i="9"/>
  <c r="BC50" i="9" s="1"/>
  <c r="BO50" i="9" s="1"/>
  <c r="AH50" i="9"/>
  <c r="AV50" i="9" s="1"/>
  <c r="BH50" i="9" s="1"/>
  <c r="AI50" i="9"/>
  <c r="AW50" i="9" s="1"/>
  <c r="BI50" i="9" s="1"/>
  <c r="AQ50" i="9"/>
  <c r="BE50" i="9" s="1"/>
  <c r="BQ50" i="9" s="1"/>
  <c r="AJ50" i="9"/>
  <c r="AX50" i="9" s="1"/>
  <c r="BJ50" i="9" s="1"/>
  <c r="AR50" i="9"/>
  <c r="BF50" i="9" s="1"/>
  <c r="BR50" i="9" s="1"/>
  <c r="AK50" i="9"/>
  <c r="AY50" i="9" s="1"/>
  <c r="BK50" i="9" s="1"/>
  <c r="AS50" i="9"/>
  <c r="BG50" i="9" s="1"/>
  <c r="BS50" i="9" s="1"/>
  <c r="AM17" i="9"/>
  <c r="BA17" i="9" s="1"/>
  <c r="BM17" i="9" s="1"/>
  <c r="AM66" i="9"/>
  <c r="BA66" i="9" s="1"/>
  <c r="BM66" i="9" s="1"/>
  <c r="AQ65" i="9"/>
  <c r="BE65" i="9" s="1"/>
  <c r="BQ65" i="9" s="1"/>
  <c r="AI65" i="9"/>
  <c r="AW65" i="9" s="1"/>
  <c r="BI65" i="9" s="1"/>
  <c r="AQ63" i="9"/>
  <c r="BE63" i="9" s="1"/>
  <c r="BQ63" i="9" s="1"/>
  <c r="AI63" i="9"/>
  <c r="AW63" i="9" s="1"/>
  <c r="BI63" i="9" s="1"/>
  <c r="AM62" i="9"/>
  <c r="BA62" i="9" s="1"/>
  <c r="BM62" i="9" s="1"/>
  <c r="AQ61" i="9"/>
  <c r="BE61" i="9" s="1"/>
  <c r="BQ61" i="9" s="1"/>
  <c r="AI61" i="9"/>
  <c r="AW61" i="9" s="1"/>
  <c r="BI61" i="9" s="1"/>
  <c r="AQ59" i="9"/>
  <c r="BE59" i="9" s="1"/>
  <c r="BQ59" i="9" s="1"/>
  <c r="AI59" i="9"/>
  <c r="AW59" i="9" s="1"/>
  <c r="BI59" i="9" s="1"/>
  <c r="AM58" i="9"/>
  <c r="BA58" i="9" s="1"/>
  <c r="BM58" i="9" s="1"/>
  <c r="AQ57" i="9"/>
  <c r="BE57" i="9" s="1"/>
  <c r="BQ57" i="9" s="1"/>
  <c r="AI57" i="9"/>
  <c r="AW57" i="9" s="1"/>
  <c r="BI57" i="9" s="1"/>
  <c r="AQ55" i="9"/>
  <c r="BE55" i="9" s="1"/>
  <c r="BQ55" i="9" s="1"/>
  <c r="AI55" i="9"/>
  <c r="AW55" i="9" s="1"/>
  <c r="BI55" i="9" s="1"/>
  <c r="AM54" i="9"/>
  <c r="BA54" i="9" s="1"/>
  <c r="BM54" i="9" s="1"/>
  <c r="AQ53" i="9"/>
  <c r="BE53" i="9" s="1"/>
  <c r="BQ53" i="9" s="1"/>
  <c r="AJ51" i="9"/>
  <c r="AX51" i="9" s="1"/>
  <c r="BJ51" i="9" s="1"/>
  <c r="AR47" i="9"/>
  <c r="BF47" i="9" s="1"/>
  <c r="BR47" i="9" s="1"/>
  <c r="AL46" i="9"/>
  <c r="AZ46" i="9" s="1"/>
  <c r="BL46" i="9" s="1"/>
  <c r="AN42" i="9"/>
  <c r="BB42" i="9" s="1"/>
  <c r="BN42" i="9" s="1"/>
  <c r="AI39" i="9"/>
  <c r="AW39" i="9" s="1"/>
  <c r="BI39" i="9" s="1"/>
  <c r="AJ37" i="9"/>
  <c r="AX37" i="9" s="1"/>
  <c r="BJ37" i="9" s="1"/>
  <c r="AP35" i="9"/>
  <c r="BD35" i="9" s="1"/>
  <c r="BP35" i="9" s="1"/>
  <c r="AQ33" i="9"/>
  <c r="BE33" i="9" s="1"/>
  <c r="BQ33" i="9" s="1"/>
  <c r="AR31" i="9"/>
  <c r="BF31" i="9" s="1"/>
  <c r="BR31" i="9" s="1"/>
  <c r="AL30" i="9"/>
  <c r="AZ30" i="9" s="1"/>
  <c r="BL30" i="9" s="1"/>
  <c r="AN26" i="9"/>
  <c r="BB26" i="9" s="1"/>
  <c r="BN26" i="9" s="1"/>
  <c r="AH25" i="9"/>
  <c r="AV25" i="9" s="1"/>
  <c r="BH25" i="9" s="1"/>
  <c r="AI23" i="9"/>
  <c r="AW23" i="9" s="1"/>
  <c r="BI23" i="9" s="1"/>
  <c r="AJ21" i="9"/>
  <c r="AX21" i="9" s="1"/>
  <c r="BJ21" i="9" s="1"/>
  <c r="AP19" i="9"/>
  <c r="BD19" i="9" s="1"/>
  <c r="BP19" i="9" s="1"/>
  <c r="AK29" i="9"/>
  <c r="AY29" i="9" s="1"/>
  <c r="BK29" i="9" s="1"/>
  <c r="AS29" i="9"/>
  <c r="BG29" i="9" s="1"/>
  <c r="BS29" i="9" s="1"/>
  <c r="AL29" i="9"/>
  <c r="AZ29" i="9" s="1"/>
  <c r="BL29" i="9" s="1"/>
  <c r="AM29" i="9"/>
  <c r="BA29" i="9" s="1"/>
  <c r="BM29" i="9" s="1"/>
  <c r="AN29" i="9"/>
  <c r="BB29" i="9" s="1"/>
  <c r="BN29" i="9" s="1"/>
  <c r="AO29" i="9"/>
  <c r="BC29" i="9" s="1"/>
  <c r="BO29" i="9" s="1"/>
  <c r="AK49" i="9"/>
  <c r="AY49" i="9" s="1"/>
  <c r="BK49" i="9" s="1"/>
  <c r="AS49" i="9"/>
  <c r="BG49" i="9" s="1"/>
  <c r="BS49" i="9" s="1"/>
  <c r="AL49" i="9"/>
  <c r="AZ49" i="9" s="1"/>
  <c r="BL49" i="9" s="1"/>
  <c r="AM49" i="9"/>
  <c r="BA49" i="9" s="1"/>
  <c r="BM49" i="9" s="1"/>
  <c r="AN49" i="9"/>
  <c r="BB49" i="9" s="1"/>
  <c r="BN49" i="9" s="1"/>
  <c r="AO49" i="9"/>
  <c r="BC49" i="9" s="1"/>
  <c r="BO49" i="9" s="1"/>
  <c r="AK61" i="9"/>
  <c r="AY61" i="9" s="1"/>
  <c r="BK61" i="9" s="1"/>
  <c r="AH53" i="9"/>
  <c r="AV53" i="9" s="1"/>
  <c r="BH53" i="9" s="1"/>
  <c r="AL17" i="9"/>
  <c r="AZ17" i="9" s="1"/>
  <c r="BL17" i="9" s="1"/>
  <c r="AL66" i="9"/>
  <c r="AZ66" i="9" s="1"/>
  <c r="BL66" i="9" s="1"/>
  <c r="AP65" i="9"/>
  <c r="BD65" i="9" s="1"/>
  <c r="BP65" i="9" s="1"/>
  <c r="AH65" i="9"/>
  <c r="AV65" i="9" s="1"/>
  <c r="BH65" i="9" s="1"/>
  <c r="AP63" i="9"/>
  <c r="BD63" i="9" s="1"/>
  <c r="BP63" i="9" s="1"/>
  <c r="AH63" i="9"/>
  <c r="AV63" i="9" s="1"/>
  <c r="BH63" i="9" s="1"/>
  <c r="AL62" i="9"/>
  <c r="AZ62" i="9" s="1"/>
  <c r="BL62" i="9" s="1"/>
  <c r="AP61" i="9"/>
  <c r="BD61" i="9" s="1"/>
  <c r="BP61" i="9" s="1"/>
  <c r="AH61" i="9"/>
  <c r="AV61" i="9" s="1"/>
  <c r="BH61" i="9" s="1"/>
  <c r="AP59" i="9"/>
  <c r="BD59" i="9" s="1"/>
  <c r="BP59" i="9" s="1"/>
  <c r="AH59" i="9"/>
  <c r="AV59" i="9" s="1"/>
  <c r="BH59" i="9" s="1"/>
  <c r="AL58" i="9"/>
  <c r="AZ58" i="9" s="1"/>
  <c r="BL58" i="9" s="1"/>
  <c r="AP57" i="9"/>
  <c r="BD57" i="9" s="1"/>
  <c r="BP57" i="9" s="1"/>
  <c r="AH57" i="9"/>
  <c r="AV57" i="9" s="1"/>
  <c r="BH57" i="9" s="1"/>
  <c r="AP55" i="9"/>
  <c r="BD55" i="9" s="1"/>
  <c r="BP55" i="9" s="1"/>
  <c r="AH55" i="9"/>
  <c r="AV55" i="9" s="1"/>
  <c r="BH55" i="9" s="1"/>
  <c r="AL54" i="9"/>
  <c r="AZ54" i="9" s="1"/>
  <c r="BL54" i="9" s="1"/>
  <c r="AP53" i="9"/>
  <c r="BD53" i="9" s="1"/>
  <c r="BP53" i="9" s="1"/>
  <c r="AP49" i="9"/>
  <c r="BD49" i="9" s="1"/>
  <c r="BP49" i="9" s="1"/>
  <c r="AM42" i="9"/>
  <c r="BA42" i="9" s="1"/>
  <c r="BM42" i="9" s="1"/>
  <c r="AI37" i="9"/>
  <c r="AW37" i="9" s="1"/>
  <c r="BI37" i="9" s="1"/>
  <c r="AP33" i="9"/>
  <c r="BD33" i="9" s="1"/>
  <c r="BP33" i="9" s="1"/>
  <c r="AR29" i="9"/>
  <c r="BF29" i="9" s="1"/>
  <c r="BR29" i="9" s="1"/>
  <c r="AM26" i="9"/>
  <c r="BA26" i="9" s="1"/>
  <c r="BM26" i="9" s="1"/>
  <c r="AK21" i="9"/>
  <c r="AY21" i="9" s="1"/>
  <c r="BK21" i="9" s="1"/>
  <c r="AS21" i="9"/>
  <c r="BG21" i="9" s="1"/>
  <c r="BS21" i="9" s="1"/>
  <c r="AL21" i="9"/>
  <c r="AZ21" i="9" s="1"/>
  <c r="BL21" i="9" s="1"/>
  <c r="AM21" i="9"/>
  <c r="BA21" i="9" s="1"/>
  <c r="BM21" i="9" s="1"/>
  <c r="AN21" i="9"/>
  <c r="BB21" i="9" s="1"/>
  <c r="BN21" i="9" s="1"/>
  <c r="AO21" i="9"/>
  <c r="BC21" i="9" s="1"/>
  <c r="BO21" i="9" s="1"/>
  <c r="AK45" i="9"/>
  <c r="AY45" i="9" s="1"/>
  <c r="BK45" i="9" s="1"/>
  <c r="AS45" i="9"/>
  <c r="BG45" i="9" s="1"/>
  <c r="BS45" i="9" s="1"/>
  <c r="AL45" i="9"/>
  <c r="AZ45" i="9" s="1"/>
  <c r="BL45" i="9" s="1"/>
  <c r="AM45" i="9"/>
  <c r="BA45" i="9" s="1"/>
  <c r="BM45" i="9" s="1"/>
  <c r="AN45" i="9"/>
  <c r="BB45" i="9" s="1"/>
  <c r="BN45" i="9" s="1"/>
  <c r="AO45" i="9"/>
  <c r="BC45" i="9" s="1"/>
  <c r="BO45" i="9" s="1"/>
  <c r="AS65" i="9"/>
  <c r="BG65" i="9" s="1"/>
  <c r="BS65" i="9" s="1"/>
  <c r="AS61" i="9"/>
  <c r="BG61" i="9" s="1"/>
  <c r="BS61" i="9" s="1"/>
  <c r="AK57" i="9"/>
  <c r="AY57" i="9" s="1"/>
  <c r="BK57" i="9" s="1"/>
  <c r="AH45" i="9"/>
  <c r="AV45" i="9" s="1"/>
  <c r="BH45" i="9" s="1"/>
  <c r="AH29" i="9"/>
  <c r="AV29" i="9" s="1"/>
  <c r="BH29" i="9" s="1"/>
  <c r="AQ21" i="9"/>
  <c r="BE21" i="9" s="1"/>
  <c r="BQ21" i="9" s="1"/>
  <c r="AK18" i="9"/>
  <c r="AY18" i="9" s="1"/>
  <c r="BK18" i="9" s="1"/>
  <c r="AS18" i="9"/>
  <c r="BG18" i="9" s="1"/>
  <c r="BS18" i="9" s="1"/>
  <c r="AL18" i="9"/>
  <c r="AZ18" i="9" s="1"/>
  <c r="BL18" i="9" s="1"/>
  <c r="AM18" i="9"/>
  <c r="BA18" i="9" s="1"/>
  <c r="BM18" i="9" s="1"/>
  <c r="AO18" i="9"/>
  <c r="BC18" i="9" s="1"/>
  <c r="BO18" i="9" s="1"/>
  <c r="AJ18" i="9"/>
  <c r="AX18" i="9" s="1"/>
  <c r="BJ18" i="9" s="1"/>
  <c r="AR18" i="9"/>
  <c r="BF18" i="9" s="1"/>
  <c r="BR18" i="9" s="1"/>
  <c r="AN18" i="9"/>
  <c r="BB18" i="9" s="1"/>
  <c r="BN18" i="9" s="1"/>
  <c r="AP18" i="9"/>
  <c r="BD18" i="9" s="1"/>
  <c r="BP18" i="9" s="1"/>
  <c r="AQ18" i="9"/>
  <c r="BE18" i="9" s="1"/>
  <c r="BQ18" i="9" s="1"/>
  <c r="AK19" i="9"/>
  <c r="AY19" i="9" s="1"/>
  <c r="BK19" i="9" s="1"/>
  <c r="AS19" i="9"/>
  <c r="BG19" i="9" s="1"/>
  <c r="BS19" i="9" s="1"/>
  <c r="AL19" i="9"/>
  <c r="AZ19" i="9" s="1"/>
  <c r="BL19" i="9" s="1"/>
  <c r="AM19" i="9"/>
  <c r="BA19" i="9" s="1"/>
  <c r="BM19" i="9" s="1"/>
  <c r="AN19" i="9"/>
  <c r="BB19" i="9" s="1"/>
  <c r="BN19" i="9" s="1"/>
  <c r="AO19" i="9"/>
  <c r="BC19" i="9" s="1"/>
  <c r="BO19" i="9" s="1"/>
  <c r="AK23" i="9"/>
  <c r="AY23" i="9" s="1"/>
  <c r="BK23" i="9" s="1"/>
  <c r="AS23" i="9"/>
  <c r="BG23" i="9" s="1"/>
  <c r="BS23" i="9" s="1"/>
  <c r="AL23" i="9"/>
  <c r="AZ23" i="9" s="1"/>
  <c r="BL23" i="9" s="1"/>
  <c r="AM23" i="9"/>
  <c r="BA23" i="9" s="1"/>
  <c r="BM23" i="9" s="1"/>
  <c r="AN23" i="9"/>
  <c r="BB23" i="9" s="1"/>
  <c r="BN23" i="9" s="1"/>
  <c r="AO23" i="9"/>
  <c r="BC23" i="9" s="1"/>
  <c r="BO23" i="9" s="1"/>
  <c r="AK27" i="9"/>
  <c r="AY27" i="9" s="1"/>
  <c r="BK27" i="9" s="1"/>
  <c r="AS27" i="9"/>
  <c r="BG27" i="9" s="1"/>
  <c r="BS27" i="9" s="1"/>
  <c r="AL27" i="9"/>
  <c r="AZ27" i="9" s="1"/>
  <c r="BL27" i="9" s="1"/>
  <c r="AM27" i="9"/>
  <c r="BA27" i="9" s="1"/>
  <c r="BM27" i="9" s="1"/>
  <c r="AN27" i="9"/>
  <c r="BB27" i="9" s="1"/>
  <c r="BN27" i="9" s="1"/>
  <c r="AO27" i="9"/>
  <c r="BC27" i="9" s="1"/>
  <c r="BO27" i="9" s="1"/>
  <c r="AK31" i="9"/>
  <c r="AY31" i="9" s="1"/>
  <c r="BK31" i="9" s="1"/>
  <c r="AS31" i="9"/>
  <c r="BG31" i="9" s="1"/>
  <c r="BS31" i="9" s="1"/>
  <c r="AL31" i="9"/>
  <c r="AZ31" i="9" s="1"/>
  <c r="BL31" i="9" s="1"/>
  <c r="AM31" i="9"/>
  <c r="BA31" i="9" s="1"/>
  <c r="BM31" i="9" s="1"/>
  <c r="AN31" i="9"/>
  <c r="BB31" i="9" s="1"/>
  <c r="BN31" i="9" s="1"/>
  <c r="AO31" i="9"/>
  <c r="BC31" i="9" s="1"/>
  <c r="BO31" i="9" s="1"/>
  <c r="AK35" i="9"/>
  <c r="AY35" i="9" s="1"/>
  <c r="BK35" i="9" s="1"/>
  <c r="AS35" i="9"/>
  <c r="BG35" i="9" s="1"/>
  <c r="BS35" i="9" s="1"/>
  <c r="AL35" i="9"/>
  <c r="AZ35" i="9" s="1"/>
  <c r="BL35" i="9" s="1"/>
  <c r="AM35" i="9"/>
  <c r="BA35" i="9" s="1"/>
  <c r="BM35" i="9" s="1"/>
  <c r="AN35" i="9"/>
  <c r="BB35" i="9" s="1"/>
  <c r="BN35" i="9" s="1"/>
  <c r="AO35" i="9"/>
  <c r="BC35" i="9" s="1"/>
  <c r="BO35" i="9" s="1"/>
  <c r="AK39" i="9"/>
  <c r="AY39" i="9" s="1"/>
  <c r="BK39" i="9" s="1"/>
  <c r="AS39" i="9"/>
  <c r="BG39" i="9" s="1"/>
  <c r="BS39" i="9" s="1"/>
  <c r="AL39" i="9"/>
  <c r="AZ39" i="9" s="1"/>
  <c r="BL39" i="9" s="1"/>
  <c r="AM39" i="9"/>
  <c r="BA39" i="9" s="1"/>
  <c r="BM39" i="9" s="1"/>
  <c r="AN39" i="9"/>
  <c r="BB39" i="9" s="1"/>
  <c r="BN39" i="9" s="1"/>
  <c r="AO39" i="9"/>
  <c r="BC39" i="9" s="1"/>
  <c r="BO39" i="9" s="1"/>
  <c r="AK43" i="9"/>
  <c r="AY43" i="9" s="1"/>
  <c r="BK43" i="9" s="1"/>
  <c r="AS43" i="9"/>
  <c r="BG43" i="9" s="1"/>
  <c r="BS43" i="9" s="1"/>
  <c r="AL43" i="9"/>
  <c r="AZ43" i="9" s="1"/>
  <c r="BL43" i="9" s="1"/>
  <c r="AM43" i="9"/>
  <c r="BA43" i="9" s="1"/>
  <c r="BM43" i="9" s="1"/>
  <c r="AN43" i="9"/>
  <c r="BB43" i="9" s="1"/>
  <c r="BN43" i="9" s="1"/>
  <c r="AO43" i="9"/>
  <c r="BC43" i="9" s="1"/>
  <c r="BO43" i="9" s="1"/>
  <c r="AK47" i="9"/>
  <c r="AY47" i="9" s="1"/>
  <c r="BK47" i="9" s="1"/>
  <c r="AS47" i="9"/>
  <c r="BG47" i="9" s="1"/>
  <c r="BS47" i="9" s="1"/>
  <c r="AL47" i="9"/>
  <c r="AZ47" i="9" s="1"/>
  <c r="BL47" i="9" s="1"/>
  <c r="AM47" i="9"/>
  <c r="BA47" i="9" s="1"/>
  <c r="BM47" i="9" s="1"/>
  <c r="AN47" i="9"/>
  <c r="BB47" i="9" s="1"/>
  <c r="BN47" i="9" s="1"/>
  <c r="AO47" i="9"/>
  <c r="BC47" i="9" s="1"/>
  <c r="BO47" i="9" s="1"/>
  <c r="AK51" i="9"/>
  <c r="AY51" i="9" s="1"/>
  <c r="BK51" i="9" s="1"/>
  <c r="AS51" i="9"/>
  <c r="BG51" i="9" s="1"/>
  <c r="BS51" i="9" s="1"/>
  <c r="AM51" i="9"/>
  <c r="BA51" i="9" s="1"/>
  <c r="BM51" i="9" s="1"/>
  <c r="AN51" i="9"/>
  <c r="BB51" i="9" s="1"/>
  <c r="BN51" i="9" s="1"/>
  <c r="AO51" i="9"/>
  <c r="BC51" i="9" s="1"/>
  <c r="BO51" i="9" s="1"/>
  <c r="AS17" i="9"/>
  <c r="BG17" i="9" s="1"/>
  <c r="BS17" i="9" s="1"/>
  <c r="AK17" i="9"/>
  <c r="AY17" i="9" s="1"/>
  <c r="BK17" i="9" s="1"/>
  <c r="AS66" i="9"/>
  <c r="BG66" i="9" s="1"/>
  <c r="BS66" i="9" s="1"/>
  <c r="AK66" i="9"/>
  <c r="AY66" i="9" s="1"/>
  <c r="BK66" i="9" s="1"/>
  <c r="AO65" i="9"/>
  <c r="BC65" i="9" s="1"/>
  <c r="BO65" i="9" s="1"/>
  <c r="AO63" i="9"/>
  <c r="BC63" i="9" s="1"/>
  <c r="BO63" i="9" s="1"/>
  <c r="AS62" i="9"/>
  <c r="BG62" i="9" s="1"/>
  <c r="BS62" i="9" s="1"/>
  <c r="AK62" i="9"/>
  <c r="AY62" i="9" s="1"/>
  <c r="BK62" i="9" s="1"/>
  <c r="AO61" i="9"/>
  <c r="BC61" i="9" s="1"/>
  <c r="BO61" i="9" s="1"/>
  <c r="AO59" i="9"/>
  <c r="BC59" i="9" s="1"/>
  <c r="BO59" i="9" s="1"/>
  <c r="AS58" i="9"/>
  <c r="BG58" i="9" s="1"/>
  <c r="BS58" i="9" s="1"/>
  <c r="AK58" i="9"/>
  <c r="AY58" i="9" s="1"/>
  <c r="BK58" i="9" s="1"/>
  <c r="AO57" i="9"/>
  <c r="BC57" i="9" s="1"/>
  <c r="BO57" i="9" s="1"/>
  <c r="AO55" i="9"/>
  <c r="BC55" i="9" s="1"/>
  <c r="BO55" i="9" s="1"/>
  <c r="AS54" i="9"/>
  <c r="BG54" i="9" s="1"/>
  <c r="BS54" i="9" s="1"/>
  <c r="AK54" i="9"/>
  <c r="AY54" i="9" s="1"/>
  <c r="BK54" i="9" s="1"/>
  <c r="AH51" i="9"/>
  <c r="AV51" i="9" s="1"/>
  <c r="BH51" i="9" s="1"/>
  <c r="AJ49" i="9"/>
  <c r="AX49" i="9" s="1"/>
  <c r="BJ49" i="9" s="1"/>
  <c r="AP47" i="9"/>
  <c r="BD47" i="9" s="1"/>
  <c r="BP47" i="9" s="1"/>
  <c r="AQ45" i="9"/>
  <c r="BE45" i="9" s="1"/>
  <c r="BQ45" i="9" s="1"/>
  <c r="AR43" i="9"/>
  <c r="BF43" i="9" s="1"/>
  <c r="BR43" i="9" s="1"/>
  <c r="AL42" i="9"/>
  <c r="AZ42" i="9" s="1"/>
  <c r="BL42" i="9" s="1"/>
  <c r="AN38" i="9"/>
  <c r="BB38" i="9" s="1"/>
  <c r="BN38" i="9" s="1"/>
  <c r="AH37" i="9"/>
  <c r="AV37" i="9" s="1"/>
  <c r="BH37" i="9" s="1"/>
  <c r="AI35" i="9"/>
  <c r="AW35" i="9" s="1"/>
  <c r="BI35" i="9" s="1"/>
  <c r="AJ33" i="9"/>
  <c r="AX33" i="9" s="1"/>
  <c r="BJ33" i="9" s="1"/>
  <c r="AP31" i="9"/>
  <c r="BD31" i="9" s="1"/>
  <c r="BP31" i="9" s="1"/>
  <c r="AQ29" i="9"/>
  <c r="BE29" i="9" s="1"/>
  <c r="BQ29" i="9" s="1"/>
  <c r="AR27" i="9"/>
  <c r="BF27" i="9" s="1"/>
  <c r="BR27" i="9" s="1"/>
  <c r="AL26" i="9"/>
  <c r="AZ26" i="9" s="1"/>
  <c r="BL26" i="9" s="1"/>
  <c r="AN22" i="9"/>
  <c r="BB22" i="9" s="1"/>
  <c r="BN22" i="9" s="1"/>
  <c r="AH21" i="9"/>
  <c r="AV21" i="9" s="1"/>
  <c r="BH21" i="9" s="1"/>
  <c r="AI19" i="9"/>
  <c r="AW19" i="9" s="1"/>
  <c r="BI19" i="9" s="1"/>
  <c r="AI18" i="9"/>
  <c r="AW18" i="9" s="1"/>
  <c r="BI18" i="9" s="1"/>
  <c r="AK25" i="9"/>
  <c r="AY25" i="9" s="1"/>
  <c r="BK25" i="9" s="1"/>
  <c r="AS25" i="9"/>
  <c r="BG25" i="9" s="1"/>
  <c r="BS25" i="9" s="1"/>
  <c r="AL25" i="9"/>
  <c r="AZ25" i="9" s="1"/>
  <c r="BL25" i="9" s="1"/>
  <c r="AM25" i="9"/>
  <c r="BA25" i="9" s="1"/>
  <c r="BM25" i="9" s="1"/>
  <c r="AN25" i="9"/>
  <c r="BB25" i="9" s="1"/>
  <c r="BN25" i="9" s="1"/>
  <c r="AO25" i="9"/>
  <c r="BC25" i="9" s="1"/>
  <c r="BO25" i="9" s="1"/>
  <c r="AK41" i="9"/>
  <c r="AY41" i="9" s="1"/>
  <c r="BK41" i="9" s="1"/>
  <c r="AS41" i="9"/>
  <c r="BG41" i="9" s="1"/>
  <c r="BS41" i="9" s="1"/>
  <c r="AL41" i="9"/>
  <c r="AZ41" i="9" s="1"/>
  <c r="BL41" i="9" s="1"/>
  <c r="AM41" i="9"/>
  <c r="BA41" i="9" s="1"/>
  <c r="BM41" i="9" s="1"/>
  <c r="AN41" i="9"/>
  <c r="BB41" i="9" s="1"/>
  <c r="BN41" i="9" s="1"/>
  <c r="AO41" i="9"/>
  <c r="BC41" i="9" s="1"/>
  <c r="BO41" i="9" s="1"/>
  <c r="AM53" i="9"/>
  <c r="BA53" i="9" s="1"/>
  <c r="BM53" i="9" s="1"/>
  <c r="AN53" i="9"/>
  <c r="BB53" i="9" s="1"/>
  <c r="BN53" i="9" s="1"/>
  <c r="AO53" i="9"/>
  <c r="BC53" i="9" s="1"/>
  <c r="BO53" i="9" s="1"/>
  <c r="AJ41" i="9"/>
  <c r="AX41" i="9" s="1"/>
  <c r="BJ41" i="9" s="1"/>
  <c r="AR17" i="9"/>
  <c r="BF17" i="9" s="1"/>
  <c r="BR17" i="9" s="1"/>
  <c r="AR66" i="9"/>
  <c r="BF66" i="9" s="1"/>
  <c r="BR66" i="9" s="1"/>
  <c r="AR62" i="9"/>
  <c r="BF62" i="9" s="1"/>
  <c r="BR62" i="9" s="1"/>
  <c r="AR58" i="9"/>
  <c r="BF58" i="9" s="1"/>
  <c r="BR58" i="9" s="1"/>
  <c r="AR54" i="9"/>
  <c r="BF54" i="9" s="1"/>
  <c r="BR54" i="9" s="1"/>
  <c r="AK53" i="9"/>
  <c r="AY53" i="9" s="1"/>
  <c r="BK53" i="9" s="1"/>
  <c r="AP50" i="9"/>
  <c r="BD50" i="9" s="1"/>
  <c r="BP50" i="9" s="1"/>
  <c r="AI49" i="9"/>
  <c r="AW49" i="9" s="1"/>
  <c r="BI49" i="9" s="1"/>
  <c r="AJ47" i="9"/>
  <c r="AX47" i="9" s="1"/>
  <c r="BJ47" i="9" s="1"/>
  <c r="AP45" i="9"/>
  <c r="BD45" i="9" s="1"/>
  <c r="BP45" i="9" s="1"/>
  <c r="AQ43" i="9"/>
  <c r="BE43" i="9" s="1"/>
  <c r="BQ43" i="9" s="1"/>
  <c r="AR41" i="9"/>
  <c r="BF41" i="9" s="1"/>
  <c r="BR41" i="9" s="1"/>
  <c r="AM38" i="9"/>
  <c r="BA38" i="9" s="1"/>
  <c r="BM38" i="9" s="1"/>
  <c r="AH35" i="9"/>
  <c r="AV35" i="9" s="1"/>
  <c r="BH35" i="9" s="1"/>
  <c r="AI33" i="9"/>
  <c r="AW33" i="9" s="1"/>
  <c r="BI33" i="9" s="1"/>
  <c r="AJ31" i="9"/>
  <c r="AX31" i="9" s="1"/>
  <c r="BJ31" i="9" s="1"/>
  <c r="AP29" i="9"/>
  <c r="BD29" i="9" s="1"/>
  <c r="BP29" i="9" s="1"/>
  <c r="AQ27" i="9"/>
  <c r="BE27" i="9" s="1"/>
  <c r="BQ27" i="9" s="1"/>
  <c r="AR25" i="9"/>
  <c r="BF25" i="9" s="1"/>
  <c r="BR25" i="9" s="1"/>
  <c r="AM22" i="9"/>
  <c r="BA22" i="9" s="1"/>
  <c r="BM22" i="9" s="1"/>
  <c r="AH19" i="9"/>
  <c r="AV19" i="9" s="1"/>
  <c r="BH19" i="9" s="1"/>
  <c r="AH18" i="9"/>
  <c r="AV18" i="9" s="1"/>
  <c r="BH18" i="9" s="1"/>
  <c r="AN14" i="9"/>
  <c r="BB14" i="9" s="1"/>
  <c r="BN14" i="9" s="1"/>
  <c r="AI10" i="9"/>
  <c r="AW10" i="9" s="1"/>
  <c r="BI10" i="9" s="1"/>
  <c r="AM6" i="9"/>
  <c r="BA6" i="9" s="1"/>
  <c r="BM6" i="9" s="1"/>
  <c r="AM11" i="9"/>
  <c r="BA11" i="9" s="1"/>
  <c r="BM11" i="9" s="1"/>
  <c r="AJ15" i="9"/>
  <c r="AX15" i="9" s="1"/>
  <c r="BJ15" i="9" s="1"/>
  <c r="AJ11" i="9"/>
  <c r="AX11" i="9" s="1"/>
  <c r="BJ11" i="9" s="1"/>
  <c r="AI12" i="9"/>
  <c r="AW12" i="9" s="1"/>
  <c r="BI12" i="9" s="1"/>
  <c r="AM15" i="9"/>
  <c r="BA15" i="9" s="1"/>
  <c r="BM15" i="9" s="1"/>
  <c r="AJ13" i="9"/>
  <c r="AX13" i="9" s="1"/>
  <c r="BJ13" i="9" s="1"/>
  <c r="AQ14" i="9"/>
  <c r="BE14" i="9" s="1"/>
  <c r="BQ14" i="9" s="1"/>
  <c r="AJ2" i="9"/>
  <c r="AX2" i="9" s="1"/>
  <c r="BJ2" i="9" s="1"/>
  <c r="AJ7" i="9"/>
  <c r="AX7" i="9" s="1"/>
  <c r="BJ7" i="9" s="1"/>
  <c r="AI14" i="9"/>
  <c r="AW14" i="9" s="1"/>
  <c r="BI14" i="9" s="1"/>
  <c r="AQ15" i="9"/>
  <c r="BE15" i="9" s="1"/>
  <c r="BQ15" i="9" s="1"/>
  <c r="AI15" i="9"/>
  <c r="AW15" i="9" s="1"/>
  <c r="BI15" i="9" s="1"/>
  <c r="AM14" i="9"/>
  <c r="BA14" i="9" s="1"/>
  <c r="BM14" i="9" s="1"/>
  <c r="AQ13" i="9"/>
  <c r="BE13" i="9" s="1"/>
  <c r="BQ13" i="9" s="1"/>
  <c r="AI13" i="9"/>
  <c r="AW13" i="9" s="1"/>
  <c r="BI13" i="9" s="1"/>
  <c r="AM12" i="9"/>
  <c r="BA12" i="9" s="1"/>
  <c r="BM12" i="9" s="1"/>
  <c r="AQ11" i="9"/>
  <c r="BE11" i="9" s="1"/>
  <c r="BQ11" i="9" s="1"/>
  <c r="AI11" i="9"/>
  <c r="AW11" i="9" s="1"/>
  <c r="BI11" i="9" s="1"/>
  <c r="AP15" i="9"/>
  <c r="BD15" i="9" s="1"/>
  <c r="BP15" i="9" s="1"/>
  <c r="AH15" i="9"/>
  <c r="AV15" i="9" s="1"/>
  <c r="BH15" i="9" s="1"/>
  <c r="AL14" i="9"/>
  <c r="AZ14" i="9" s="1"/>
  <c r="BL14" i="9" s="1"/>
  <c r="AP13" i="9"/>
  <c r="BD13" i="9" s="1"/>
  <c r="BP13" i="9" s="1"/>
  <c r="AH13" i="9"/>
  <c r="AV13" i="9" s="1"/>
  <c r="BH13" i="9" s="1"/>
  <c r="AL12" i="9"/>
  <c r="AZ12" i="9" s="1"/>
  <c r="BL12" i="9" s="1"/>
  <c r="AP11" i="9"/>
  <c r="BD11" i="9" s="1"/>
  <c r="BP11" i="9" s="1"/>
  <c r="AH11" i="9"/>
  <c r="AV11" i="9" s="1"/>
  <c r="BH11" i="9" s="1"/>
  <c r="AO15" i="9"/>
  <c r="BC15" i="9" s="1"/>
  <c r="BO15" i="9" s="1"/>
  <c r="AS14" i="9"/>
  <c r="BG14" i="9" s="1"/>
  <c r="BS14" i="9" s="1"/>
  <c r="AK14" i="9"/>
  <c r="AY14" i="9" s="1"/>
  <c r="BK14" i="9" s="1"/>
  <c r="AO13" i="9"/>
  <c r="BC13" i="9" s="1"/>
  <c r="BO13" i="9" s="1"/>
  <c r="AS12" i="9"/>
  <c r="BG12" i="9" s="1"/>
  <c r="BS12" i="9" s="1"/>
  <c r="AK12" i="9"/>
  <c r="AY12" i="9" s="1"/>
  <c r="BK12" i="9" s="1"/>
  <c r="AO11" i="9"/>
  <c r="BC11" i="9" s="1"/>
  <c r="BO11" i="9" s="1"/>
  <c r="AN15" i="9"/>
  <c r="BB15" i="9" s="1"/>
  <c r="BN15" i="9" s="1"/>
  <c r="AR14" i="9"/>
  <c r="BF14" i="9" s="1"/>
  <c r="BR14" i="9" s="1"/>
  <c r="AJ14" i="9"/>
  <c r="AX14" i="9" s="1"/>
  <c r="BJ14" i="9" s="1"/>
  <c r="AN13" i="9"/>
  <c r="BB13" i="9" s="1"/>
  <c r="BN13" i="9" s="1"/>
  <c r="AR12" i="9"/>
  <c r="BF12" i="9" s="1"/>
  <c r="BR12" i="9" s="1"/>
  <c r="AJ12" i="9"/>
  <c r="AX12" i="9" s="1"/>
  <c r="BJ12" i="9" s="1"/>
  <c r="AN11" i="9"/>
  <c r="BB11" i="9" s="1"/>
  <c r="BN11" i="9" s="1"/>
  <c r="AL15" i="9"/>
  <c r="AZ15" i="9" s="1"/>
  <c r="BL15" i="9" s="1"/>
  <c r="AP14" i="9"/>
  <c r="BD14" i="9" s="1"/>
  <c r="BP14" i="9" s="1"/>
  <c r="AH14" i="9"/>
  <c r="AV14" i="9" s="1"/>
  <c r="BH14" i="9" s="1"/>
  <c r="AL13" i="9"/>
  <c r="AZ13" i="9" s="1"/>
  <c r="BL13" i="9" s="1"/>
  <c r="AP12" i="9"/>
  <c r="BD12" i="9" s="1"/>
  <c r="BP12" i="9" s="1"/>
  <c r="AH12" i="9"/>
  <c r="AV12" i="9" s="1"/>
  <c r="BH12" i="9" s="1"/>
  <c r="AL11" i="9"/>
  <c r="AZ11" i="9" s="1"/>
  <c r="BL11" i="9" s="1"/>
  <c r="AS15" i="9"/>
  <c r="BG15" i="9" s="1"/>
  <c r="BS15" i="9" s="1"/>
  <c r="AK15" i="9"/>
  <c r="AY15" i="9" s="1"/>
  <c r="BK15" i="9" s="1"/>
  <c r="AO14" i="9"/>
  <c r="BC14" i="9" s="1"/>
  <c r="BO14" i="9" s="1"/>
  <c r="AS13" i="9"/>
  <c r="BG13" i="9" s="1"/>
  <c r="BS13" i="9" s="1"/>
  <c r="AK13" i="9"/>
  <c r="AY13" i="9" s="1"/>
  <c r="BK13" i="9" s="1"/>
  <c r="AO12" i="9"/>
  <c r="BC12" i="9" s="1"/>
  <c r="BO12" i="9" s="1"/>
  <c r="AS11" i="9"/>
  <c r="BG11" i="9" s="1"/>
  <c r="BS11" i="9" s="1"/>
  <c r="AK11" i="9"/>
  <c r="AY11" i="9" s="1"/>
  <c r="BK11" i="9" s="1"/>
  <c r="AQ12" i="9"/>
  <c r="BE12" i="9" s="1"/>
  <c r="BQ12" i="9" s="1"/>
  <c r="AR15" i="9"/>
  <c r="BF15" i="9" s="1"/>
  <c r="BR15" i="9" s="1"/>
  <c r="AR13" i="9"/>
  <c r="BF13" i="9" s="1"/>
  <c r="BR13" i="9" s="1"/>
  <c r="AR11" i="9"/>
  <c r="BF11" i="9" s="1"/>
  <c r="BR11" i="9" s="1"/>
  <c r="AN3" i="9"/>
  <c r="BB3" i="9" s="1"/>
  <c r="BN3" i="9" s="1"/>
  <c r="AL9" i="9"/>
  <c r="AZ9" i="9" s="1"/>
  <c r="BL9" i="9" s="1"/>
  <c r="AP5" i="9"/>
  <c r="BD5" i="9" s="1"/>
  <c r="BP5" i="9" s="1"/>
  <c r="AO8" i="9"/>
  <c r="BC8" i="9" s="1"/>
  <c r="BO8" i="9" s="1"/>
  <c r="AK4" i="9"/>
  <c r="AY4" i="9" s="1"/>
  <c r="BK4" i="9" s="1"/>
  <c r="AJ10" i="9"/>
  <c r="AX10" i="9" s="1"/>
  <c r="BJ10" i="9" s="1"/>
  <c r="AS7" i="9"/>
  <c r="BG7" i="9" s="1"/>
  <c r="BS7" i="9" s="1"/>
  <c r="AQ7" i="9"/>
  <c r="BE7" i="9" s="1"/>
  <c r="BQ7" i="9" s="1"/>
  <c r="AI2" i="9"/>
  <c r="AW2" i="9" s="1"/>
  <c r="BI2" i="9" s="1"/>
  <c r="AI7" i="9"/>
  <c r="AW7" i="9" s="1"/>
  <c r="BI7" i="9" s="1"/>
  <c r="AH7" i="9"/>
  <c r="AV7" i="9" s="1"/>
  <c r="BH7" i="9" s="1"/>
  <c r="AR6" i="9"/>
  <c r="BF6" i="9" s="1"/>
  <c r="BR6" i="9" s="1"/>
  <c r="AR10" i="9"/>
  <c r="BF10" i="9" s="1"/>
  <c r="BR10" i="9" s="1"/>
  <c r="AN6" i="9"/>
  <c r="BB6" i="9" s="1"/>
  <c r="BN6" i="9" s="1"/>
  <c r="AP10" i="9"/>
  <c r="BD10" i="9" s="1"/>
  <c r="BP10" i="9" s="1"/>
  <c r="AL6" i="9"/>
  <c r="AZ6" i="9" s="1"/>
  <c r="BL6" i="9" s="1"/>
  <c r="AN10" i="9"/>
  <c r="BB10" i="9" s="1"/>
  <c r="BN10" i="9" s="1"/>
  <c r="AJ6" i="9"/>
  <c r="AX6" i="9" s="1"/>
  <c r="BJ6" i="9" s="1"/>
  <c r="AS9" i="9"/>
  <c r="BG9" i="9" s="1"/>
  <c r="BS9" i="9" s="1"/>
  <c r="AO5" i="9"/>
  <c r="BC5" i="9" s="1"/>
  <c r="BO5" i="9" s="1"/>
  <c r="AR4" i="9"/>
  <c r="BF4" i="9" s="1"/>
  <c r="BR4" i="9" s="1"/>
  <c r="AJ4" i="9"/>
  <c r="AX4" i="9" s="1"/>
  <c r="BJ4" i="9" s="1"/>
  <c r="AM3" i="9"/>
  <c r="BA3" i="9" s="1"/>
  <c r="BM3" i="9" s="1"/>
  <c r="AP2" i="9"/>
  <c r="BD2" i="9" s="1"/>
  <c r="BP2" i="9" s="1"/>
  <c r="AH6" i="9"/>
  <c r="AV6" i="9" s="1"/>
  <c r="BH6" i="9" s="1"/>
  <c r="AO10" i="9"/>
  <c r="BC10" i="9" s="1"/>
  <c r="BO10" i="9" s="1"/>
  <c r="AR9" i="9"/>
  <c r="BF9" i="9" s="1"/>
  <c r="BR9" i="9" s="1"/>
  <c r="AJ9" i="9"/>
  <c r="AX9" i="9" s="1"/>
  <c r="BJ9" i="9" s="1"/>
  <c r="AM8" i="9"/>
  <c r="BA8" i="9" s="1"/>
  <c r="BM8" i="9" s="1"/>
  <c r="AP7" i="9"/>
  <c r="BD7" i="9" s="1"/>
  <c r="BP7" i="9" s="1"/>
  <c r="AS6" i="9"/>
  <c r="BG6" i="9" s="1"/>
  <c r="BS6" i="9" s="1"/>
  <c r="AK6" i="9"/>
  <c r="AY6" i="9" s="1"/>
  <c r="BK6" i="9" s="1"/>
  <c r="AN5" i="9"/>
  <c r="BB5" i="9" s="1"/>
  <c r="BN5" i="9" s="1"/>
  <c r="AQ4" i="9"/>
  <c r="BE4" i="9" s="1"/>
  <c r="BQ4" i="9" s="1"/>
  <c r="AI4" i="9"/>
  <c r="AW4" i="9" s="1"/>
  <c r="BI4" i="9" s="1"/>
  <c r="AL3" i="9"/>
  <c r="AZ3" i="9" s="1"/>
  <c r="BL3" i="9" s="1"/>
  <c r="AO2" i="9"/>
  <c r="BC2" i="9" s="1"/>
  <c r="BO2" i="9" s="1"/>
  <c r="AQ9" i="9"/>
  <c r="BE9" i="9" s="1"/>
  <c r="BQ9" i="9" s="1"/>
  <c r="AI9" i="9"/>
  <c r="AW9" i="9" s="1"/>
  <c r="BI9" i="9" s="1"/>
  <c r="AL8" i="9"/>
  <c r="AZ8" i="9" s="1"/>
  <c r="BL8" i="9" s="1"/>
  <c r="AO7" i="9"/>
  <c r="BC7" i="9" s="1"/>
  <c r="BO7" i="9" s="1"/>
  <c r="AN2" i="9"/>
  <c r="BB2" i="9" s="1"/>
  <c r="BN2" i="9" s="1"/>
  <c r="AH4" i="9"/>
  <c r="AV4" i="9" s="1"/>
  <c r="BH4" i="9" s="1"/>
  <c r="AM10" i="9"/>
  <c r="BA10" i="9" s="1"/>
  <c r="BM10" i="9" s="1"/>
  <c r="AP9" i="9"/>
  <c r="BD9" i="9" s="1"/>
  <c r="BP9" i="9" s="1"/>
  <c r="AS8" i="9"/>
  <c r="BG8" i="9" s="1"/>
  <c r="BS8" i="9" s="1"/>
  <c r="AK8" i="9"/>
  <c r="AY8" i="9" s="1"/>
  <c r="BK8" i="9" s="1"/>
  <c r="AN7" i="9"/>
  <c r="BB7" i="9" s="1"/>
  <c r="BN7" i="9" s="1"/>
  <c r="AQ6" i="9"/>
  <c r="BE6" i="9" s="1"/>
  <c r="BQ6" i="9" s="1"/>
  <c r="AI6" i="9"/>
  <c r="AW6" i="9" s="1"/>
  <c r="BI6" i="9" s="1"/>
  <c r="AL5" i="9"/>
  <c r="AZ5" i="9" s="1"/>
  <c r="BL5" i="9" s="1"/>
  <c r="AO4" i="9"/>
  <c r="BC4" i="9" s="1"/>
  <c r="BO4" i="9" s="1"/>
  <c r="AR3" i="9"/>
  <c r="BF3" i="9" s="1"/>
  <c r="BR3" i="9" s="1"/>
  <c r="AJ3" i="9"/>
  <c r="AX3" i="9" s="1"/>
  <c r="BJ3" i="9" s="1"/>
  <c r="AM2" i="9"/>
  <c r="BA2" i="9" s="1"/>
  <c r="BM2" i="9" s="1"/>
  <c r="AN8" i="9"/>
  <c r="BB8" i="9" s="1"/>
  <c r="BN8" i="9" s="1"/>
  <c r="AK3" i="9"/>
  <c r="AY3" i="9" s="1"/>
  <c r="BK3" i="9" s="1"/>
  <c r="AV2" i="9"/>
  <c r="BH2" i="9" s="1"/>
  <c r="AH3" i="9"/>
  <c r="AV3" i="9" s="1"/>
  <c r="BH3" i="9" s="1"/>
  <c r="AL10" i="9"/>
  <c r="AZ10" i="9" s="1"/>
  <c r="BL10" i="9" s="1"/>
  <c r="AO9" i="9"/>
  <c r="BC9" i="9" s="1"/>
  <c r="BO9" i="9" s="1"/>
  <c r="AR8" i="9"/>
  <c r="BF8" i="9" s="1"/>
  <c r="BR8" i="9" s="1"/>
  <c r="AJ8" i="9"/>
  <c r="AX8" i="9" s="1"/>
  <c r="BJ8" i="9" s="1"/>
  <c r="AM7" i="9"/>
  <c r="BA7" i="9" s="1"/>
  <c r="BM7" i="9" s="1"/>
  <c r="AP6" i="9"/>
  <c r="BD6" i="9" s="1"/>
  <c r="BP6" i="9" s="1"/>
  <c r="AS5" i="9"/>
  <c r="BG5" i="9" s="1"/>
  <c r="BS5" i="9" s="1"/>
  <c r="AK5" i="9"/>
  <c r="AY5" i="9" s="1"/>
  <c r="BK5" i="9" s="1"/>
  <c r="AN4" i="9"/>
  <c r="BB4" i="9" s="1"/>
  <c r="BN4" i="9" s="1"/>
  <c r="AQ3" i="9"/>
  <c r="BE3" i="9" s="1"/>
  <c r="BQ3" i="9" s="1"/>
  <c r="AI3" i="9"/>
  <c r="AW3" i="9" s="1"/>
  <c r="BI3" i="9" s="1"/>
  <c r="AL2" i="9"/>
  <c r="AZ2" i="9" s="1"/>
  <c r="BL2" i="9" s="1"/>
  <c r="AK9" i="9"/>
  <c r="AY9" i="9" s="1"/>
  <c r="BK9" i="9" s="1"/>
  <c r="AH5" i="9"/>
  <c r="AV5" i="9" s="1"/>
  <c r="BH5" i="9" s="1"/>
  <c r="AM5" i="9"/>
  <c r="BA5" i="9" s="1"/>
  <c r="BM5" i="9" s="1"/>
  <c r="AP4" i="9"/>
  <c r="BD4" i="9" s="1"/>
  <c r="BP4" i="9" s="1"/>
  <c r="AS3" i="9"/>
  <c r="BG3" i="9" s="1"/>
  <c r="BS3" i="9" s="1"/>
  <c r="AH10" i="9"/>
  <c r="AV10" i="9" s="1"/>
  <c r="BH10" i="9" s="1"/>
  <c r="AS10" i="9"/>
  <c r="BG10" i="9" s="1"/>
  <c r="BS10" i="9" s="1"/>
  <c r="AK10" i="9"/>
  <c r="AY10" i="9" s="1"/>
  <c r="BK10" i="9" s="1"/>
  <c r="AN9" i="9"/>
  <c r="BB9" i="9" s="1"/>
  <c r="BN9" i="9" s="1"/>
  <c r="AQ8" i="9"/>
  <c r="BE8" i="9" s="1"/>
  <c r="BQ8" i="9" s="1"/>
  <c r="AI8" i="9"/>
  <c r="AW8" i="9" s="1"/>
  <c r="BI8" i="9" s="1"/>
  <c r="AL7" i="9"/>
  <c r="AZ7" i="9" s="1"/>
  <c r="BL7" i="9" s="1"/>
  <c r="AO6" i="9"/>
  <c r="BC6" i="9" s="1"/>
  <c r="BO6" i="9" s="1"/>
  <c r="AR5" i="9"/>
  <c r="BF5" i="9" s="1"/>
  <c r="BR5" i="9" s="1"/>
  <c r="AJ5" i="9"/>
  <c r="AX5" i="9" s="1"/>
  <c r="BJ5" i="9" s="1"/>
  <c r="AM4" i="9"/>
  <c r="BA4" i="9" s="1"/>
  <c r="BM4" i="9" s="1"/>
  <c r="AP3" i="9"/>
  <c r="BD3" i="9" s="1"/>
  <c r="BP3" i="9" s="1"/>
  <c r="AS2" i="9"/>
  <c r="BG2" i="9" s="1"/>
  <c r="BS2" i="9" s="1"/>
  <c r="AK2" i="9"/>
  <c r="AY2" i="9" s="1"/>
  <c r="BK2" i="9" s="1"/>
  <c r="AH9" i="9"/>
  <c r="AV9" i="9" s="1"/>
  <c r="BH9" i="9" s="1"/>
  <c r="AM9" i="9"/>
  <c r="BA9" i="9" s="1"/>
  <c r="BM9" i="9" s="1"/>
  <c r="AP8" i="9"/>
  <c r="BD8" i="9" s="1"/>
  <c r="BP8" i="9" s="1"/>
  <c r="AK7" i="9"/>
  <c r="AY7" i="9" s="1"/>
  <c r="BK7" i="9" s="1"/>
  <c r="AQ5" i="9"/>
  <c r="BE5" i="9" s="1"/>
  <c r="BQ5" i="9" s="1"/>
  <c r="AI5" i="9"/>
  <c r="AW5" i="9" s="1"/>
  <c r="BI5" i="9" s="1"/>
  <c r="AL4" i="9"/>
  <c r="AZ4" i="9" s="1"/>
  <c r="BL4" i="9" s="1"/>
  <c r="AO3" i="9"/>
  <c r="BC3" i="9" s="1"/>
  <c r="BO3" i="9" s="1"/>
  <c r="AR2" i="9"/>
  <c r="BF2" i="9" s="1"/>
  <c r="BR2" i="9" s="1"/>
  <c r="AH8" i="9"/>
  <c r="AV8" i="9" s="1"/>
  <c r="BH8" i="9" s="1"/>
  <c r="AQ10" i="9"/>
  <c r="BE10" i="9" s="1"/>
  <c r="BQ10" i="9" s="1"/>
  <c r="AR7" i="9"/>
  <c r="BF7" i="9" s="1"/>
  <c r="BR7" i="9" s="1"/>
  <c r="AS4" i="9"/>
  <c r="BG4" i="9" s="1"/>
  <c r="BS4" i="9" s="1"/>
  <c r="AQ2" i="9"/>
  <c r="BE2" i="9" s="1"/>
  <c r="BQ2" i="9" s="1"/>
  <c r="U64" i="2"/>
  <c r="U5" i="2"/>
  <c r="BT16" i="9" l="1"/>
  <c r="BW16" i="9" s="1"/>
  <c r="CH16" i="9" s="1"/>
  <c r="BY16" i="9"/>
  <c r="CF16" i="9" s="1"/>
  <c r="BT24" i="9"/>
  <c r="BW24" i="9" s="1"/>
  <c r="CH24" i="9" s="1"/>
  <c r="BT56" i="9"/>
  <c r="BW56" i="9" s="1"/>
  <c r="CH56" i="9" s="1"/>
  <c r="BT50" i="9"/>
  <c r="BW50" i="9" s="1"/>
  <c r="CH50" i="9" s="1"/>
  <c r="BT59" i="9"/>
  <c r="BW59" i="9" s="1"/>
  <c r="CH59" i="9" s="1"/>
  <c r="BT17" i="9"/>
  <c r="BW17" i="9" s="1"/>
  <c r="CH17" i="9" s="1"/>
  <c r="BT66" i="9"/>
  <c r="BW66" i="9" s="1"/>
  <c r="CH66" i="9" s="1"/>
  <c r="BT39" i="9"/>
  <c r="BW39" i="9" s="1"/>
  <c r="CH39" i="9" s="1"/>
  <c r="BT2" i="9"/>
  <c r="BW2" i="9" s="1"/>
  <c r="CH2" i="9" s="1"/>
  <c r="BT18" i="9"/>
  <c r="BW18" i="9" s="1"/>
  <c r="CH18" i="9" s="1"/>
  <c r="BT35" i="9"/>
  <c r="BW35" i="9" s="1"/>
  <c r="CH35" i="9" s="1"/>
  <c r="BT21" i="9"/>
  <c r="BW21" i="9" s="1"/>
  <c r="CH21" i="9" s="1"/>
  <c r="BT37" i="9"/>
  <c r="BW37" i="9" s="1"/>
  <c r="CH37" i="9" s="1"/>
  <c r="BT29" i="9"/>
  <c r="BW29" i="9" s="1"/>
  <c r="CH29" i="9" s="1"/>
  <c r="BT42" i="9"/>
  <c r="BW42" i="9" s="1"/>
  <c r="CH42" i="9" s="1"/>
  <c r="BT33" i="9"/>
  <c r="BW33" i="9" s="1"/>
  <c r="CH33" i="9" s="1"/>
  <c r="BT43" i="9"/>
  <c r="BW43" i="9" s="1"/>
  <c r="CH43" i="9" s="1"/>
  <c r="BT7" i="9"/>
  <c r="BW7" i="9" s="1"/>
  <c r="CH7" i="9" s="1"/>
  <c r="BT5" i="9"/>
  <c r="BW5" i="9" s="1"/>
  <c r="CH5" i="9" s="1"/>
  <c r="BT19" i="9"/>
  <c r="BW19" i="9" s="1"/>
  <c r="CH19" i="9" s="1"/>
  <c r="BT45" i="9"/>
  <c r="BW45" i="9" s="1"/>
  <c r="CH45" i="9" s="1"/>
  <c r="BT53" i="9"/>
  <c r="BW53" i="9" s="1"/>
  <c r="CH53" i="9" s="1"/>
  <c r="BT23" i="9"/>
  <c r="BW23" i="9" s="1"/>
  <c r="CH23" i="9" s="1"/>
  <c r="BT11" i="9"/>
  <c r="BW11" i="9" s="1"/>
  <c r="CH11" i="9" s="1"/>
  <c r="BT57" i="9"/>
  <c r="BW57" i="9" s="1"/>
  <c r="CH57" i="9" s="1"/>
  <c r="BT30" i="9"/>
  <c r="BW30" i="9" s="1"/>
  <c r="CH30" i="9" s="1"/>
  <c r="BT25" i="9"/>
  <c r="BW25" i="9" s="1"/>
  <c r="CH25" i="9" s="1"/>
  <c r="BT60" i="9"/>
  <c r="BW60" i="9" s="1"/>
  <c r="CH60" i="9" s="1"/>
  <c r="BT49" i="9"/>
  <c r="BW49" i="9" s="1"/>
  <c r="CH49" i="9" s="1"/>
  <c r="BT26" i="9"/>
  <c r="BW26" i="9" s="1"/>
  <c r="CH26" i="9" s="1"/>
  <c r="BT41" i="9"/>
  <c r="BW41" i="9" s="1"/>
  <c r="CH41" i="9" s="1"/>
  <c r="BT28" i="9"/>
  <c r="BW28" i="9" s="1"/>
  <c r="CH28" i="9" s="1"/>
  <c r="BT14" i="9"/>
  <c r="BW14" i="9" s="1"/>
  <c r="CH14" i="9" s="1"/>
  <c r="BT27" i="9"/>
  <c r="BW27" i="9" s="1"/>
  <c r="CH27" i="9" s="1"/>
  <c r="BT52" i="9"/>
  <c r="BW52" i="9" s="1"/>
  <c r="CH52" i="9" s="1"/>
  <c r="BT6" i="9"/>
  <c r="BW6" i="9" s="1"/>
  <c r="CH6" i="9" s="1"/>
  <c r="BT3" i="9"/>
  <c r="BW3" i="9" s="1"/>
  <c r="CH3" i="9" s="1"/>
  <c r="BT9" i="9"/>
  <c r="BW9" i="9" s="1"/>
  <c r="CH9" i="9" s="1"/>
  <c r="BT22" i="9"/>
  <c r="BW22" i="9" s="1"/>
  <c r="CH22" i="9" s="1"/>
  <c r="BT40" i="9"/>
  <c r="BW40" i="9" s="1"/>
  <c r="CH40" i="9" s="1"/>
  <c r="BT34" i="9"/>
  <c r="BW34" i="9" s="1"/>
  <c r="CH34" i="9" s="1"/>
  <c r="BT13" i="9"/>
  <c r="BW13" i="9" s="1"/>
  <c r="CH13" i="9" s="1"/>
  <c r="BT15" i="9"/>
  <c r="BW15" i="9" s="1"/>
  <c r="CH15" i="9" s="1"/>
  <c r="BT54" i="9"/>
  <c r="BW54" i="9" s="1"/>
  <c r="CH54" i="9" s="1"/>
  <c r="BT62" i="9"/>
  <c r="BW62" i="9" s="1"/>
  <c r="CH62" i="9" s="1"/>
  <c r="BT51" i="9"/>
  <c r="BW51" i="9" s="1"/>
  <c r="CH51" i="9" s="1"/>
  <c r="BT55" i="9"/>
  <c r="BW55" i="9" s="1"/>
  <c r="CH55" i="9" s="1"/>
  <c r="BT36" i="9"/>
  <c r="BW36" i="9" s="1"/>
  <c r="CH36" i="9" s="1"/>
  <c r="BT32" i="9"/>
  <c r="BW32" i="9" s="1"/>
  <c r="CH32" i="9" s="1"/>
  <c r="BT61" i="9"/>
  <c r="BW61" i="9" s="1"/>
  <c r="CH61" i="9" s="1"/>
  <c r="BT46" i="9"/>
  <c r="BW46" i="9" s="1"/>
  <c r="CH46" i="9" s="1"/>
  <c r="BT38" i="9"/>
  <c r="BW38" i="9" s="1"/>
  <c r="CH38" i="9" s="1"/>
  <c r="BT20" i="9"/>
  <c r="BW20" i="9" s="1"/>
  <c r="CH20" i="9" s="1"/>
  <c r="BT48" i="9"/>
  <c r="BW48" i="9" s="1"/>
  <c r="CH48" i="9" s="1"/>
  <c r="BT44" i="9"/>
  <c r="BW44" i="9" s="1"/>
  <c r="CH44" i="9" s="1"/>
  <c r="BT64" i="9"/>
  <c r="BW64" i="9" s="1"/>
  <c r="CH64" i="9" s="1"/>
  <c r="BT4" i="9"/>
  <c r="BW4" i="9" s="1"/>
  <c r="CH4" i="9" s="1"/>
  <c r="BT10" i="9"/>
  <c r="BW10" i="9" s="1"/>
  <c r="CH10" i="9" s="1"/>
  <c r="BT63" i="9"/>
  <c r="BW63" i="9" s="1"/>
  <c r="CH63" i="9" s="1"/>
  <c r="BT8" i="9"/>
  <c r="BW8" i="9" s="1"/>
  <c r="CH8" i="9" s="1"/>
  <c r="BT58" i="9"/>
  <c r="BW58" i="9" s="1"/>
  <c r="CH58" i="9" s="1"/>
  <c r="BT65" i="9"/>
  <c r="BW65" i="9" s="1"/>
  <c r="CH65" i="9" s="1"/>
  <c r="BT12" i="9"/>
  <c r="BW12" i="9" s="1"/>
  <c r="CH12" i="9" s="1"/>
  <c r="BT47" i="9"/>
  <c r="BW47" i="9" s="1"/>
  <c r="CH47" i="9" s="1"/>
  <c r="BT31" i="9"/>
  <c r="BW31" i="9" s="1"/>
  <c r="CH31" i="9" s="1"/>
  <c r="BY2" i="9"/>
  <c r="BY22" i="9"/>
  <c r="BY40" i="9"/>
  <c r="BY43" i="9"/>
  <c r="BY51" i="9"/>
  <c r="BY46" i="9"/>
  <c r="BY64" i="9"/>
  <c r="BY32" i="9"/>
  <c r="BY66" i="9"/>
  <c r="BY39" i="9"/>
  <c r="BY50" i="9"/>
  <c r="BY33" i="9"/>
  <c r="BY18" i="9"/>
  <c r="BY35" i="9"/>
  <c r="BY21" i="9"/>
  <c r="BY37" i="9"/>
  <c r="BY29" i="9"/>
  <c r="BY61" i="9"/>
  <c r="BY42" i="9"/>
  <c r="BY36" i="9"/>
  <c r="BY48" i="9"/>
  <c r="BY31" i="9"/>
  <c r="BY62" i="9"/>
  <c r="BY19" i="9"/>
  <c r="BY45" i="9"/>
  <c r="BY55" i="9"/>
  <c r="BY53" i="9"/>
  <c r="BY38" i="9"/>
  <c r="BY20" i="9"/>
  <c r="BY47" i="9"/>
  <c r="BY23" i="9"/>
  <c r="BY25" i="9"/>
  <c r="BY34" i="9"/>
  <c r="BY44" i="9"/>
  <c r="BY60" i="9"/>
  <c r="BY54" i="9"/>
  <c r="BY49" i="9"/>
  <c r="BY27" i="9"/>
  <c r="BY65" i="9"/>
  <c r="BY59" i="9"/>
  <c r="BY56" i="9"/>
  <c r="BY24" i="9"/>
  <c r="BY57" i="9"/>
  <c r="BY63" i="9"/>
  <c r="BY30" i="9"/>
  <c r="BY58" i="9"/>
  <c r="BY52" i="9"/>
  <c r="BY17" i="9"/>
  <c r="BY26" i="9"/>
  <c r="BY41" i="9"/>
  <c r="BY28" i="9"/>
  <c r="BY11" i="9"/>
  <c r="BY13" i="9"/>
  <c r="BY12" i="9"/>
  <c r="BY15" i="9"/>
  <c r="BY14" i="9"/>
  <c r="BY7" i="9"/>
  <c r="BY9" i="9"/>
  <c r="BY3" i="9"/>
  <c r="BY8" i="9"/>
  <c r="BY5" i="9"/>
  <c r="BY4" i="9"/>
  <c r="BY6" i="9"/>
  <c r="BY10" i="9"/>
  <c r="BZ16" i="9" l="1"/>
  <c r="CC16" i="9" s="1"/>
  <c r="BZ10" i="9"/>
  <c r="CF10" i="9"/>
  <c r="BZ59" i="9"/>
  <c r="CC59" i="9" s="1"/>
  <c r="CF59" i="9"/>
  <c r="CF8" i="9"/>
  <c r="BZ8" i="9"/>
  <c r="CC8" i="9" s="1"/>
  <c r="BZ3" i="9"/>
  <c r="CC3" i="9" s="1"/>
  <c r="CF3" i="9"/>
  <c r="CF63" i="9"/>
  <c r="BZ63" i="9"/>
  <c r="CC63" i="9" s="1"/>
  <c r="CF9" i="9"/>
  <c r="BZ9" i="9"/>
  <c r="CC9" i="9" s="1"/>
  <c r="BZ57" i="9"/>
  <c r="CC57" i="9" s="1"/>
  <c r="CF57" i="9"/>
  <c r="BZ60" i="9"/>
  <c r="CC60" i="9" s="1"/>
  <c r="CF60" i="9"/>
  <c r="BZ53" i="9"/>
  <c r="CC53" i="9" s="1"/>
  <c r="CF53" i="9"/>
  <c r="BZ42" i="9"/>
  <c r="CC42" i="9" s="1"/>
  <c r="CF42" i="9"/>
  <c r="BZ50" i="9"/>
  <c r="CC50" i="9" s="1"/>
  <c r="CF50" i="9"/>
  <c r="BZ43" i="9"/>
  <c r="CC43" i="9" s="1"/>
  <c r="CF43" i="9"/>
  <c r="BZ26" i="9"/>
  <c r="CC26" i="9" s="1"/>
  <c r="CF26" i="9"/>
  <c r="BZ66" i="9"/>
  <c r="CC66" i="9" s="1"/>
  <c r="CF66" i="9"/>
  <c r="CF17" i="9"/>
  <c r="BZ17" i="9"/>
  <c r="CC17" i="9" s="1"/>
  <c r="CF37" i="9"/>
  <c r="BZ37" i="9"/>
  <c r="CC37" i="9" s="1"/>
  <c r="BZ7" i="9"/>
  <c r="CC7" i="9" s="1"/>
  <c r="CF7" i="9"/>
  <c r="BZ41" i="9"/>
  <c r="CC41" i="9" s="1"/>
  <c r="CF41" i="9"/>
  <c r="BZ24" i="9"/>
  <c r="CC24" i="9" s="1"/>
  <c r="CF24" i="9"/>
  <c r="BZ44" i="9"/>
  <c r="CC44" i="9" s="1"/>
  <c r="CF44" i="9"/>
  <c r="CF55" i="9"/>
  <c r="BZ55" i="9"/>
  <c r="CC55" i="9" s="1"/>
  <c r="CF61" i="9"/>
  <c r="BZ61" i="9"/>
  <c r="CC61" i="9" s="1"/>
  <c r="CF39" i="9"/>
  <c r="BZ39" i="9"/>
  <c r="CC39" i="9" s="1"/>
  <c r="CF40" i="9"/>
  <c r="BZ40" i="9"/>
  <c r="CC40" i="9" s="1"/>
  <c r="CF56" i="9"/>
  <c r="BZ56" i="9"/>
  <c r="CC56" i="9" s="1"/>
  <c r="BZ25" i="9"/>
  <c r="CC25" i="9" s="1"/>
  <c r="CF25" i="9"/>
  <c r="BZ4" i="9"/>
  <c r="CC4" i="9" s="1"/>
  <c r="CF4" i="9"/>
  <c r="BZ12" i="9"/>
  <c r="CC12" i="9" s="1"/>
  <c r="CF12" i="9"/>
  <c r="BZ52" i="9"/>
  <c r="CC52" i="9" s="1"/>
  <c r="CF52" i="9"/>
  <c r="BZ65" i="9"/>
  <c r="CC65" i="9" s="1"/>
  <c r="CF65" i="9"/>
  <c r="CF23" i="9"/>
  <c r="BZ23" i="9"/>
  <c r="CC23" i="9" s="1"/>
  <c r="CF62" i="9"/>
  <c r="BZ62" i="9"/>
  <c r="CC62" i="9" s="1"/>
  <c r="CF21" i="9"/>
  <c r="BZ21" i="9"/>
  <c r="CC21" i="9" s="1"/>
  <c r="BZ64" i="9"/>
  <c r="CC64" i="9" s="1"/>
  <c r="CF64" i="9"/>
  <c r="BZ2" i="9"/>
  <c r="CC2" i="9" s="1"/>
  <c r="CF2" i="9"/>
  <c r="BZ14" i="9"/>
  <c r="CC14" i="9" s="1"/>
  <c r="CF14" i="9"/>
  <c r="CF29" i="9"/>
  <c r="BZ29" i="9"/>
  <c r="CC29" i="9" s="1"/>
  <c r="BZ6" i="9"/>
  <c r="CC6" i="9" s="1"/>
  <c r="CF6" i="9"/>
  <c r="CF32" i="9"/>
  <c r="BZ32" i="9"/>
  <c r="CC32" i="9" s="1"/>
  <c r="BZ5" i="9"/>
  <c r="CC5" i="9" s="1"/>
  <c r="CF5" i="9"/>
  <c r="BZ13" i="9"/>
  <c r="CC13" i="9" s="1"/>
  <c r="CF13" i="9"/>
  <c r="BZ58" i="9"/>
  <c r="CC58" i="9" s="1"/>
  <c r="CF58" i="9"/>
  <c r="BZ27" i="9"/>
  <c r="CC27" i="9" s="1"/>
  <c r="CF27" i="9"/>
  <c r="CF47" i="9"/>
  <c r="BZ47" i="9"/>
  <c r="CC47" i="9" s="1"/>
  <c r="CF31" i="9"/>
  <c r="BZ31" i="9"/>
  <c r="CC31" i="9" s="1"/>
  <c r="BZ35" i="9"/>
  <c r="CC35" i="9" s="1"/>
  <c r="CF35" i="9"/>
  <c r="BZ34" i="9"/>
  <c r="CC34" i="9" s="1"/>
  <c r="CF34" i="9"/>
  <c r="BZ19" i="9"/>
  <c r="CC19" i="9" s="1"/>
  <c r="CF19" i="9"/>
  <c r="BZ11" i="9"/>
  <c r="CC11" i="9" s="1"/>
  <c r="CF11" i="9"/>
  <c r="CF30" i="9"/>
  <c r="BZ30" i="9"/>
  <c r="CC30" i="9" s="1"/>
  <c r="BZ49" i="9"/>
  <c r="CC49" i="9" s="1"/>
  <c r="CF49" i="9"/>
  <c r="BZ20" i="9"/>
  <c r="CC20" i="9" s="1"/>
  <c r="CF20" i="9"/>
  <c r="CF48" i="9"/>
  <c r="BZ48" i="9"/>
  <c r="CC48" i="9" s="1"/>
  <c r="CF18" i="9"/>
  <c r="BZ18" i="9"/>
  <c r="CC18" i="9" s="1"/>
  <c r="CF46" i="9"/>
  <c r="BZ46" i="9"/>
  <c r="CC46" i="9" s="1"/>
  <c r="BZ45" i="9"/>
  <c r="CC45" i="9" s="1"/>
  <c r="CF45" i="9"/>
  <c r="CF15" i="9"/>
  <c r="BZ15" i="9"/>
  <c r="CC15" i="9" s="1"/>
  <c r="CF22" i="9"/>
  <c r="BZ22" i="9"/>
  <c r="CC22" i="9" s="1"/>
  <c r="BZ28" i="9"/>
  <c r="CC28" i="9" s="1"/>
  <c r="CF28" i="9"/>
  <c r="CF54" i="9"/>
  <c r="BZ54" i="9"/>
  <c r="CC54" i="9" s="1"/>
  <c r="CF38" i="9"/>
  <c r="BZ38" i="9"/>
  <c r="CC38" i="9" s="1"/>
  <c r="BZ36" i="9"/>
  <c r="CC36" i="9" s="1"/>
  <c r="CF36" i="9"/>
  <c r="BZ33" i="9"/>
  <c r="CC33" i="9" s="1"/>
  <c r="CF33" i="9"/>
  <c r="BZ51" i="9"/>
  <c r="CC51" i="9" s="1"/>
  <c r="CF51" i="9"/>
  <c r="CC10" i="9"/>
  <c r="U30" i="2"/>
  <c r="T29" i="2"/>
  <c r="U29" i="2" s="1"/>
  <c r="U28" i="2"/>
  <c r="U27" i="2"/>
  <c r="U23" i="2"/>
  <c r="U22" i="2"/>
  <c r="U21" i="2"/>
  <c r="U20" i="2"/>
  <c r="U10" i="2"/>
  <c r="U9" i="2"/>
  <c r="U7" i="2"/>
  <c r="U6" i="2"/>
  <c r="U3" i="2"/>
  <c r="U2" i="2"/>
  <c r="CG16" i="9" l="1"/>
  <c r="CG61" i="9"/>
  <c r="CG63" i="9"/>
  <c r="CG53" i="9"/>
  <c r="CG44" i="9"/>
  <c r="CG43" i="9"/>
  <c r="CG2" i="9"/>
  <c r="CG29" i="9"/>
  <c r="CG55" i="9"/>
  <c r="CG62" i="9"/>
  <c r="CG40" i="9"/>
  <c r="CG28" i="9"/>
  <c r="CG20" i="9"/>
  <c r="CG23" i="9"/>
  <c r="CG57" i="9"/>
  <c r="CG25" i="9"/>
  <c r="CG4" i="9"/>
  <c r="CG30" i="9"/>
  <c r="CG52" i="9"/>
  <c r="CG5" i="9"/>
  <c r="CG54" i="9"/>
  <c r="CG18" i="9"/>
  <c r="CG34" i="9"/>
  <c r="CG47" i="9"/>
  <c r="CG41" i="9"/>
  <c r="CG42" i="9"/>
  <c r="CG12" i="9"/>
  <c r="CG9" i="9"/>
  <c r="CG46" i="9"/>
  <c r="CG35" i="9"/>
  <c r="CG59" i="9"/>
  <c r="CG10" i="9"/>
  <c r="CG22" i="9"/>
  <c r="CG49" i="9"/>
  <c r="CG50" i="9"/>
  <c r="CG11" i="9"/>
  <c r="CG64" i="9"/>
  <c r="CG7" i="9"/>
  <c r="CG26" i="9"/>
  <c r="CG3" i="9"/>
  <c r="CG36" i="9"/>
  <c r="CG13" i="9"/>
  <c r="CG21" i="9"/>
  <c r="CG65" i="9"/>
  <c r="CG39" i="9"/>
  <c r="CG37" i="9"/>
  <c r="CG24" i="9"/>
  <c r="CG17" i="9"/>
  <c r="CG15" i="9"/>
  <c r="CG27" i="9"/>
  <c r="CG32" i="9"/>
  <c r="CG60" i="9"/>
  <c r="CG33" i="9"/>
  <c r="CG48" i="9"/>
  <c r="CG66" i="9"/>
  <c r="CG8" i="9"/>
  <c r="CG31" i="9"/>
  <c r="CG56" i="9"/>
  <c r="CG58" i="9"/>
  <c r="CG38" i="9"/>
  <c r="CG51" i="9"/>
  <c r="CG19" i="9"/>
  <c r="CG6" i="9"/>
  <c r="CG45" i="9"/>
  <c r="CG14" i="9"/>
</calcChain>
</file>

<file path=xl/sharedStrings.xml><?xml version="1.0" encoding="utf-8"?>
<sst xmlns="http://schemas.openxmlformats.org/spreadsheetml/2006/main" count="3178" uniqueCount="807">
  <si>
    <t>Paper</t>
  </si>
  <si>
    <t>ID</t>
  </si>
  <si>
    <t>HCC_low</t>
  </si>
  <si>
    <t>HCC_high</t>
  </si>
  <si>
    <t>Qian2002</t>
  </si>
  <si>
    <t>Townsend2010</t>
  </si>
  <si>
    <t>Method</t>
  </si>
  <si>
    <t>Chronosequence</t>
  </si>
  <si>
    <t>Fairways</t>
  </si>
  <si>
    <t>Lawns</t>
  </si>
  <si>
    <t>Location</t>
  </si>
  <si>
    <t>Humid subtropical</t>
  </si>
  <si>
    <t>Denver, CO</t>
  </si>
  <si>
    <t>Los Angeles, CA</t>
  </si>
  <si>
    <t>Selhorst2013</t>
  </si>
  <si>
    <t>Atlanta, GA</t>
  </si>
  <si>
    <t>Cheyenne, WY</t>
  </si>
  <si>
    <t>Dallas, TX</t>
  </si>
  <si>
    <t>Duluth, MN</t>
  </si>
  <si>
    <t>Las Vegas, NV</t>
  </si>
  <si>
    <t>Minneapolis, MN</t>
  </si>
  <si>
    <t>Orlando, FL</t>
  </si>
  <si>
    <t>Phoenix, AZ</t>
  </si>
  <si>
    <t>Portland, ME</t>
  </si>
  <si>
    <t>San Francisco, CA</t>
  </si>
  <si>
    <t>Seattle, WA</t>
  </si>
  <si>
    <t>Wooster, OH</t>
  </si>
  <si>
    <t>Cold Semi-Arid</t>
  </si>
  <si>
    <t>Hot desert</t>
  </si>
  <si>
    <t>Qian2010</t>
  </si>
  <si>
    <t>Qian2010_Bentgrass</t>
  </si>
  <si>
    <t>Qian2010_FineFescueUnirr</t>
  </si>
  <si>
    <t>Qian2010_FineFescueIrr</t>
  </si>
  <si>
    <t>NebraskaCity, NE</t>
  </si>
  <si>
    <t>Latitude</t>
  </si>
  <si>
    <t>Longitude</t>
  </si>
  <si>
    <t>Houston, TX</t>
  </si>
  <si>
    <t>Wichita, KS</t>
  </si>
  <si>
    <t>cm</t>
  </si>
  <si>
    <t>Decimal degree</t>
  </si>
  <si>
    <t>KoppenClimateCode</t>
  </si>
  <si>
    <t>KoppenClimateDescription</t>
  </si>
  <si>
    <t>Cfb</t>
  </si>
  <si>
    <t>Oceanic Climate</t>
  </si>
  <si>
    <t>Bsk</t>
  </si>
  <si>
    <t>Dfb</t>
  </si>
  <si>
    <t>Dfa</t>
  </si>
  <si>
    <t>Cfa</t>
  </si>
  <si>
    <t>BWh</t>
  </si>
  <si>
    <t>BWk</t>
  </si>
  <si>
    <t>Cold Desert</t>
  </si>
  <si>
    <t>Csb</t>
  </si>
  <si>
    <t>Warm-summer Mediterranean</t>
  </si>
  <si>
    <t>Repeated Measurement</t>
  </si>
  <si>
    <t>North Carolina</t>
  </si>
  <si>
    <t>Lubbock, TX</t>
  </si>
  <si>
    <t>Smith2018</t>
  </si>
  <si>
    <t>Salt Lake City, UT</t>
  </si>
  <si>
    <t>Huh2008</t>
  </si>
  <si>
    <t>Palmerston North, New Zealand</t>
  </si>
  <si>
    <t>Braun2019</t>
  </si>
  <si>
    <t>Braun2019_HMI</t>
  </si>
  <si>
    <t>Braun2019_LMI</t>
  </si>
  <si>
    <t>Manhattan, KS</t>
  </si>
  <si>
    <t>Acuna2017</t>
  </si>
  <si>
    <t>Csa</t>
  </si>
  <si>
    <t xml:space="preserve">Mediterranean semiarid Mesothermal </t>
  </si>
  <si>
    <t>Pirque, Chile</t>
  </si>
  <si>
    <t xml:space="preserve">Auburn, AL </t>
  </si>
  <si>
    <t>Law2017</t>
  </si>
  <si>
    <t>Law2017_KBG</t>
  </si>
  <si>
    <t>Law2017_TF</t>
  </si>
  <si>
    <t>West Lafayette, IN</t>
  </si>
  <si>
    <t>Law2017_clippingreturned</t>
  </si>
  <si>
    <t>Raciti2011</t>
  </si>
  <si>
    <t>Baltimore, MD</t>
  </si>
  <si>
    <t>Law2017_clippingcollectted</t>
  </si>
  <si>
    <t>Selhorst2011</t>
  </si>
  <si>
    <t>Roughs</t>
  </si>
  <si>
    <t>Grove City, OH</t>
  </si>
  <si>
    <t>Temperate Oceanic Climate</t>
  </si>
  <si>
    <t>Albuquerque, NM</t>
  </si>
  <si>
    <t>Selhorst2013_Dallas</t>
  </si>
  <si>
    <t>Selhorst2013_Duluth</t>
  </si>
  <si>
    <t>Selhorst2013_Houston</t>
  </si>
  <si>
    <t>Selhorst2013_Minneapolis</t>
  </si>
  <si>
    <t>Contosta2020</t>
  </si>
  <si>
    <t>Manchester, NH</t>
  </si>
  <si>
    <t>Campbell2014</t>
  </si>
  <si>
    <t>Athletic Fields</t>
  </si>
  <si>
    <t>Extracted data from figure and fitted.</t>
  </si>
  <si>
    <t>Saratoga, WY</t>
  </si>
  <si>
    <t>Putting Greens</t>
  </si>
  <si>
    <t>Reference</t>
  </si>
  <si>
    <t>Qian and Follett, 2002</t>
  </si>
  <si>
    <t>Turfgrass Type</t>
  </si>
  <si>
    <t>Townsend and Czimick, 2010</t>
  </si>
  <si>
    <t>Function for SOC versus years since establishment</t>
  </si>
  <si>
    <t>Quadratic</t>
  </si>
  <si>
    <t>Linear</t>
  </si>
  <si>
    <t>Selhorst and Lal, 2011</t>
  </si>
  <si>
    <t>Year since establishment</t>
  </si>
  <si>
    <t>18-34</t>
  </si>
  <si>
    <t>2 - 45</t>
  </si>
  <si>
    <t>2 - 33</t>
  </si>
  <si>
    <t>1 - 97</t>
  </si>
  <si>
    <t>1 - 100</t>
  </si>
  <si>
    <t>Selhorst and Lal, 2013</t>
  </si>
  <si>
    <t>Gautam et al., 2019</t>
  </si>
  <si>
    <t>Rational</t>
  </si>
  <si>
    <t>Smith et al., 2018</t>
  </si>
  <si>
    <t>Huh et al., 2008</t>
  </si>
  <si>
    <t>5 - 40</t>
  </si>
  <si>
    <t>Raciti et al., 2011</t>
  </si>
  <si>
    <t>Depths evaluated</t>
  </si>
  <si>
    <t>4-58</t>
  </si>
  <si>
    <t>Equation_SOC_v_Time</t>
  </si>
  <si>
    <t>Year_Start</t>
  </si>
  <si>
    <t>Year_End</t>
  </si>
  <si>
    <t>N</t>
  </si>
  <si>
    <t>R2</t>
  </si>
  <si>
    <t>y = 296 + ((2150 * x) / (11.7 + x))</t>
  </si>
  <si>
    <t>y = 1013 + 69 * x</t>
  </si>
  <si>
    <t>y = 3630 + 32 * x</t>
  </si>
  <si>
    <t>y = 3590 + 82 * x</t>
  </si>
  <si>
    <t>y = 143 * x +1003</t>
  </si>
  <si>
    <t>y = 70 * x + 3009</t>
  </si>
  <si>
    <t>y = 384 + 134 * x - 1.4 * x^2</t>
  </si>
  <si>
    <t>y = 1944 + 104 * x - 1.6 * x^2</t>
  </si>
  <si>
    <t>y = 545 + 73 * x</t>
  </si>
  <si>
    <t>Huyler2017</t>
  </si>
  <si>
    <t>Wang2014</t>
  </si>
  <si>
    <t>Imputed as 10% of mean</t>
  </si>
  <si>
    <t>Wang2014_ForestConversion</t>
  </si>
  <si>
    <t>Wang2014_10to80years</t>
  </si>
  <si>
    <t>y = 2132 - 52 * x</t>
  </si>
  <si>
    <t>Durham, NC</t>
  </si>
  <si>
    <t>Roanoke, VA</t>
  </si>
  <si>
    <t>Acuna2017_Bingo</t>
  </si>
  <si>
    <t>Acuna2017_C.dactylon</t>
  </si>
  <si>
    <t>Acuna2017_CindyLou</t>
  </si>
  <si>
    <t>Acuna2017_Cochise</t>
  </si>
  <si>
    <t>Acuna2017_Derby</t>
  </si>
  <si>
    <t>Acuna2017_Kenblue</t>
  </si>
  <si>
    <t>Acuna2017_Premier</t>
  </si>
  <si>
    <t>Acuna2017_Sabre</t>
  </si>
  <si>
    <t>Acuna2017_Tifway</t>
  </si>
  <si>
    <t>y = 205 + 18.4 * x</t>
  </si>
  <si>
    <t>y = 172 + 58.9 * x</t>
  </si>
  <si>
    <t>y = 257 -5.1  * x</t>
  </si>
  <si>
    <t>y = 212 + 29.1 * x</t>
  </si>
  <si>
    <t>y = 207 + 19 * x</t>
  </si>
  <si>
    <t>y = 196 + 13.3 * x</t>
  </si>
  <si>
    <t>y = 190 + 34.8 * x</t>
  </si>
  <si>
    <t>y = 244 + 0 * x</t>
  </si>
  <si>
    <t>y = 1531.7 + 143.3 * x</t>
  </si>
  <si>
    <t>y = 1515 + 160 * x</t>
  </si>
  <si>
    <t>y = 1534.2 + 140.8 * x</t>
  </si>
  <si>
    <t>y = 1512.1 + 162.9 * x</t>
  </si>
  <si>
    <t>y = 3002 + 78 * x</t>
  </si>
  <si>
    <t>y = 3062 +  74 * x</t>
  </si>
  <si>
    <t>y = 2775 + 52 * x</t>
  </si>
  <si>
    <t>y = 1458 + 15.4 * x</t>
  </si>
  <si>
    <t>y = -0.263 * x^2 + 28.2*x + 393.5</t>
  </si>
  <si>
    <t>Selhorst2013_Albuquerque</t>
  </si>
  <si>
    <t>Selhorst2013_Cheyenne</t>
  </si>
  <si>
    <t>Qian2010_KBG</t>
  </si>
  <si>
    <t>Selhorst2011_OHFairways</t>
  </si>
  <si>
    <t>Selhorst2011_OHRoughs</t>
  </si>
  <si>
    <t>dSOC_10yr</t>
  </si>
  <si>
    <t>dSOC_10yr_SE</t>
  </si>
  <si>
    <t>dSOC_10yr_SE_Estimation_Method</t>
  </si>
  <si>
    <t>Reported in paper</t>
  </si>
  <si>
    <t>Reported in paper correction</t>
  </si>
  <si>
    <t>TurfType</t>
  </si>
  <si>
    <t>Small plots</t>
  </si>
  <si>
    <t>Selhorst2013_Orlando</t>
  </si>
  <si>
    <t>Selhorst2013_LasVegas</t>
  </si>
  <si>
    <t>Selhorst2013_Wichita</t>
  </si>
  <si>
    <t>Selhorst2013_Atlanta</t>
  </si>
  <si>
    <t>Selhorst2013_Phoenix</t>
  </si>
  <si>
    <t>Selhorst2013_SanFrancisco</t>
  </si>
  <si>
    <t>Selhorst2013_Wooster</t>
  </si>
  <si>
    <t>Selhorst2013_Seattle</t>
  </si>
  <si>
    <t>Selhorst2013_Denver</t>
  </si>
  <si>
    <t>Sapkota et al. 2020</t>
  </si>
  <si>
    <t>0-63</t>
  </si>
  <si>
    <t>Wang et al.  2014</t>
  </si>
  <si>
    <t>Two-part linear</t>
  </si>
  <si>
    <t>Campbell et al. 2014</t>
  </si>
  <si>
    <t>5 - 52</t>
  </si>
  <si>
    <t>Sapkota2020</t>
  </si>
  <si>
    <t>0 - 80</t>
  </si>
  <si>
    <t>Smith2018_SLC</t>
  </si>
  <si>
    <t>Townsend2010_LA_Lawns</t>
  </si>
  <si>
    <t>Townsend2010_LA_AthleticFields</t>
  </si>
  <si>
    <t>Sapkota2020_Lubbock</t>
  </si>
  <si>
    <t>Qian2002_FairwaysCO</t>
  </si>
  <si>
    <t>Qian2002_GreensCO</t>
  </si>
  <si>
    <t>Qian2002_FairwaysWY</t>
  </si>
  <si>
    <t>Campbell2014_Roanoke</t>
  </si>
  <si>
    <t>Selhorst2013_Portland</t>
  </si>
  <si>
    <t>Huh2008_NewZealand</t>
  </si>
  <si>
    <t>Shi et al. 2011</t>
  </si>
  <si>
    <t>Seth-Carley et al., 2011</t>
  </si>
  <si>
    <t>Seth-Carley2011_NorthCarolina</t>
  </si>
  <si>
    <t>Seth-Carley2011</t>
  </si>
  <si>
    <t>1 - 14</t>
  </si>
  <si>
    <t>y = 658 +(( 2737 * x) /  (6.52 + x))</t>
  </si>
  <si>
    <t>DominantSpp</t>
  </si>
  <si>
    <t>Bermuda (Cynodon dactylon)</t>
  </si>
  <si>
    <t>Zoysia (Zoysia matrella)</t>
  </si>
  <si>
    <t>Kentucky bluegrass (Poa pratensis)</t>
  </si>
  <si>
    <t>St Augustine (Stenotaphrum secundatum)</t>
  </si>
  <si>
    <t>Bentgrass (Agrostis palustris)</t>
  </si>
  <si>
    <t>Buffalo (Buchloe dactyloids)</t>
  </si>
  <si>
    <t>Creeping bentgrass (Agrostis stolonifera)</t>
  </si>
  <si>
    <t>Tall fescue</t>
  </si>
  <si>
    <t>Fine fescue (Festuca spp.)</t>
  </si>
  <si>
    <t>Bluegrass (Poa annua L.)</t>
  </si>
  <si>
    <t>Seasonality</t>
  </si>
  <si>
    <t>Raciti2011_Baltimore_fromAg</t>
  </si>
  <si>
    <t>Raciti2011_Baltimore_fromForest</t>
  </si>
  <si>
    <t>Data provided by author</t>
  </si>
  <si>
    <t>Shi2012</t>
  </si>
  <si>
    <t>Shi2012_NorthCarolina</t>
  </si>
  <si>
    <t>Cool</t>
  </si>
  <si>
    <t>Warm</t>
  </si>
  <si>
    <t>Gautam2020</t>
  </si>
  <si>
    <t>Gautum2020_Lubbock</t>
  </si>
  <si>
    <t xml:space="preserve">Bermudagrass (Cynodon spp.) </t>
  </si>
  <si>
    <t>Mix</t>
  </si>
  <si>
    <t>NA</t>
  </si>
  <si>
    <t>Red fescue (Festuca rubra L. ssp. Rubra)</t>
  </si>
  <si>
    <t>Ryegrass (Lolium perenne)</t>
  </si>
  <si>
    <t>Poa (Poa trivialis)</t>
  </si>
  <si>
    <t>Hybrid bermuda (Cynodon dactylon L. × C. transvaalensis Burtt Davy)</t>
  </si>
  <si>
    <t>y = 5370 + 327 * x</t>
  </si>
  <si>
    <t>y = 5740 + 275 * x</t>
  </si>
  <si>
    <t>y = 237.5 + (960.9 * x)/(9.8 + x)</t>
  </si>
  <si>
    <t>y = 222.4 + 31.4 * x + 0.188 * x^2</t>
  </si>
  <si>
    <t>y = 1730 + 35.15 * x</t>
  </si>
  <si>
    <t>y = 2380 + 88.28 * x</t>
  </si>
  <si>
    <t>y = 1243 + 30.3 * x</t>
  </si>
  <si>
    <t>y = 2406 + 80.73 * x</t>
  </si>
  <si>
    <t>y = 1942 + 24.55 * x</t>
  </si>
  <si>
    <t>y = 1371 + 38 * x</t>
  </si>
  <si>
    <t>y = 84 + 12 * x</t>
  </si>
  <si>
    <t>y = 83 + -4 * x</t>
  </si>
  <si>
    <t>y = 38 + 21 * x</t>
  </si>
  <si>
    <t>y = 103 + 13 * x</t>
  </si>
  <si>
    <t>y = 63 + 3 * x</t>
  </si>
  <si>
    <t>y = 39 + 13 * x</t>
  </si>
  <si>
    <t>y = 82 + 32 * x</t>
  </si>
  <si>
    <t>y = 61 + 24 * x</t>
  </si>
  <si>
    <t>y = 29 + 37 * x</t>
  </si>
  <si>
    <t>y = 86 + 14 * x</t>
  </si>
  <si>
    <t>y = 84 + -2 * x</t>
  </si>
  <si>
    <t>y = 87 + -20 * x</t>
  </si>
  <si>
    <t>y = 89 + 12 * x</t>
  </si>
  <si>
    <t>y = 81 + 2 * x</t>
  </si>
  <si>
    <t>y = 42 + 32 * x</t>
  </si>
  <si>
    <t>y = 89 + 10 * x</t>
  </si>
  <si>
    <t>y = 79 + 4 * x</t>
  </si>
  <si>
    <t>y = 39 + 16 * x</t>
  </si>
  <si>
    <t>y = 110 + 0 * x</t>
  </si>
  <si>
    <t>y = 99 + -21 * x</t>
  </si>
  <si>
    <t>y = 35 + 21 * x</t>
  </si>
  <si>
    <t>y = 69 + 0 * x</t>
  </si>
  <si>
    <t>y = 44 + 25 * x</t>
  </si>
  <si>
    <t>y = 97 + 4 * x</t>
  </si>
  <si>
    <t>y = 62 + 27 * x</t>
  </si>
  <si>
    <t>y = 31 + 24 * x</t>
  </si>
  <si>
    <t>y = 11160 - 915.8 * x + 35.9 * x^2 - 0.42 * x^3</t>
  </si>
  <si>
    <t>y = 1221+ 13 * x</t>
  </si>
  <si>
    <t>Data provided by author, combined depths and fitted with 3rd order polynomial. Note that authors only reported 0-5 cm depth fit with a linear regression.</t>
  </si>
  <si>
    <t>Huyler et al. 2017</t>
  </si>
  <si>
    <t>Polynomial</t>
  </si>
  <si>
    <t>Trammell et al 2020</t>
  </si>
  <si>
    <t>0-10</t>
  </si>
  <si>
    <t>0-10, 10-30</t>
  </si>
  <si>
    <t>0-2.5, 2.5-5, 5-10, 10-15</t>
  </si>
  <si>
    <t>0-5, 5-10, 10-20, 20-30</t>
  </si>
  <si>
    <t>0-7.5, 7.5-15</t>
  </si>
  <si>
    <t>0-10, 10-25</t>
  </si>
  <si>
    <t>0-15, 15-30, 30-50</t>
  </si>
  <si>
    <t>Huyler2017_Auburn_PureLawns</t>
  </si>
  <si>
    <t>Huyler2017_Auburn_LawnsWithTrees</t>
  </si>
  <si>
    <t>Lawns with trees</t>
  </si>
  <si>
    <t>3-87</t>
  </si>
  <si>
    <t>1-51</t>
  </si>
  <si>
    <t>y = 5965 - 150 * x + 2.68 * x^2</t>
  </si>
  <si>
    <t>y = 2661 + 147 * x - 2.7 * x^2 + 0.018 * x^3</t>
  </si>
  <si>
    <t>Golubiewski2006_Denver</t>
  </si>
  <si>
    <t>Golubiewski 2006 and Pouyat et al. 2009</t>
  </si>
  <si>
    <t>0-10, 10-20, 20-30, 30-100</t>
  </si>
  <si>
    <t>0-50</t>
  </si>
  <si>
    <t xml:space="preserve">Extracted data from figure and fitted. </t>
  </si>
  <si>
    <t>y = 6556 + 183 * x</t>
  </si>
  <si>
    <t>0-2.5, 2.5-7.5</t>
  </si>
  <si>
    <t>0-15</t>
  </si>
  <si>
    <t>y = 1690 + 61.75 * x</t>
  </si>
  <si>
    <t>y = 1094 -14.4 * x</t>
  </si>
  <si>
    <t>y = 1938 + 6.25 * x</t>
  </si>
  <si>
    <t>y = 1136 + 71 * x</t>
  </si>
  <si>
    <t>y = 1931 + 47.25 * x</t>
  </si>
  <si>
    <t>y = 1699 -18 * x</t>
  </si>
  <si>
    <t>y = 1624 + 66 * x</t>
  </si>
  <si>
    <t>y = 1392 + 9.9 * x</t>
  </si>
  <si>
    <t>y = 1723 + 10.8 * x</t>
  </si>
  <si>
    <t>y = 1407 + 20.8 * x - 0.81 * x^2 + 0.014 * x^3</t>
  </si>
  <si>
    <t>y = 798 -24.1 * x + 1.71 * x^2 - 0.0061 * x^3</t>
  </si>
  <si>
    <t>y = 355 + 14 * x - 0.42 * x^2 + 0.007 * x^3</t>
  </si>
  <si>
    <t>y = 2605 + 23.6 * x - 1.89 * x^2 + 0.025 * x^3</t>
  </si>
  <si>
    <t>y = 888 + 288 * x - 11.9 * x^2 + 0.013 * x^3</t>
  </si>
  <si>
    <t>y = 2794 - 127 * x + 3.69 * x^2 - 0.033 * x^3</t>
  </si>
  <si>
    <t>y = 834 -28 * x + 0.96 * x^2 -0.0067 * x^3</t>
  </si>
  <si>
    <t>y = 5828 + 136 * x - 1.03 * x^2</t>
  </si>
  <si>
    <t>Extracted data from figure and fitted. Averaged cores for each golf course.</t>
  </si>
  <si>
    <t>Extracted data from figure and fitted. Averaged cores for each lawn.</t>
  </si>
  <si>
    <t>y = 2994 + 44 * x - 0.467 * x^2</t>
  </si>
  <si>
    <t>y = 680 + 62 * x -0.52 * x^2</t>
  </si>
  <si>
    <t>y = 1064 + 22 * x - 0.07 * x^2</t>
  </si>
  <si>
    <t>y = 1090 + 6.77 * x + 0.028 * x^2</t>
  </si>
  <si>
    <t>y = 5544 + 121 * x - 1.1 * x^2</t>
  </si>
  <si>
    <t>y = 2605 + 10.5 * x - 0.17 * x^2</t>
  </si>
  <si>
    <t>y = 679 + 50.2 * x - 0.43 * x^2</t>
  </si>
  <si>
    <t>y = 1059 + 40.7 * x - 0.33 * x^2</t>
  </si>
  <si>
    <t>y = 1201 + 19.2 * x - 0.15 * x^2</t>
  </si>
  <si>
    <t>y =  564  +  88.4 * x + 2.11 * x^2 - 0.0281 * x^3</t>
  </si>
  <si>
    <t>y =  78  +  16 * x + 0.61 * x^2 - 0.0084 * x^3</t>
  </si>
  <si>
    <t>y =  278  +  31.9 * x + 0.24 * x^2 - 0.0054 * x^3</t>
  </si>
  <si>
    <t>y =  102  +  8.5 * x + 0.99 * x^2 - 0.0094 * x^3</t>
  </si>
  <si>
    <t>y =  106  +  31.9 * x + 0.27 * x^2 - 0.0049 * x^3</t>
  </si>
  <si>
    <t>y =  287  +  56.2 * x - 1.18 * x^2 + 0.0073 * x^3</t>
  </si>
  <si>
    <t>y =  117  +  35.5 * x - 0.85 * x^2 + 0.0061 * x^3</t>
  </si>
  <si>
    <t>y =  55  +  55.6 * x - 1.29 * x^2 + 0.0092 * x^3</t>
  </si>
  <si>
    <t>y =  149  +  36.1 * x - 0.92 * x^2 + 0.0074 * x^3</t>
  </si>
  <si>
    <t>y =  1021  +  257.1 * x - 4.09 * x^2 + 0.0187 * x^3</t>
  </si>
  <si>
    <t>y =  609  +  183.4 * x - 4.24 * x^2 + 0.03 * x^3</t>
  </si>
  <si>
    <t>y =  221  +  63.7 * x - 0.73 * x^2 + 0.0012 * x^3</t>
  </si>
  <si>
    <t>y =  235  +  30.4 * x + -0.33 * x^2 + 0.001 * x^3</t>
  </si>
  <si>
    <t>y =  323  +  76.2 * x + -1.26 * x^2 + 0.0059 * x^3</t>
  </si>
  <si>
    <t>y =  242  +  86.8 * x + -1.78 * x^2 + 0.0107 * x^3</t>
  </si>
  <si>
    <t>y = 2101 + 225 * x - 5.24 * x^2 + 0.0369 * x^3</t>
  </si>
  <si>
    <t>y =  339  +  24 * x - 0.34 * x^2 + 0.0017 * x^3</t>
  </si>
  <si>
    <t>y =  589  +  55 * x - 1.13 * x^2 + 0.0069 * x^3</t>
  </si>
  <si>
    <t>y =  502  +  66.9 * x + -1.69 * x^2 + 0.0125 * x^3</t>
  </si>
  <si>
    <t>y =  670  +  78.9 * x + -2.08 * x^2 + 0.0157 * x^3</t>
  </si>
  <si>
    <t>Author_Equation_SOC_v_Time</t>
  </si>
  <si>
    <t>Caruso_Equation_SOC_v_Time</t>
  </si>
  <si>
    <t>a</t>
  </si>
  <si>
    <t>h</t>
  </si>
  <si>
    <t>c</t>
  </si>
  <si>
    <t>y = 8101.9 - 4226 * exp(-0.703 * x)</t>
  </si>
  <si>
    <t>a_SE</t>
  </si>
  <si>
    <t>h_SE</t>
  </si>
  <si>
    <t>c_SE</t>
  </si>
  <si>
    <t>Caruso_pseudoR2</t>
  </si>
  <si>
    <t>y = 9712.5 - 4931.3 * exp(-0.117 * x)</t>
  </si>
  <si>
    <t>y = 7696 - 7459 * exp(-0.029 * x)</t>
  </si>
  <si>
    <t>y = 4389.9 - 3413.4 * exp(-0.023 * x)</t>
  </si>
  <si>
    <t>y = 5402.9 - 4845.9 * exp(-0.123 * x)</t>
  </si>
  <si>
    <t>y = 5321.2 - 3681.8 * exp(-0.139 * x)</t>
  </si>
  <si>
    <t>y = 13081.1 - 10217.6 * exp(-0.01 * x)</t>
  </si>
  <si>
    <t>y =  746  +  66.7 * x - 1.09 * x^2 + 0.0068 * x^3</t>
  </si>
  <si>
    <t>y =  755  +  -43.4 * x + 1.96 * x^2 + -0.0157 * x^3</t>
  </si>
  <si>
    <t>y =  879  +  24.9 * x + -0.1 * x^2 + 2e-04 * x^3</t>
  </si>
  <si>
    <t>y =  371  +  82.5 * x + -2.27 * x^2 + 0.0184 * x^3</t>
  </si>
  <si>
    <t>y =  336  +  51.1 * x - 1.18 * x^2 + 0.0083 * x^3</t>
  </si>
  <si>
    <t>y =  713  +  33.6 * x - 0.73 * x^2 + 0.0052 * x^3</t>
  </si>
  <si>
    <t>y =  332  +  131.8 * x + -3.01 * x^2 + 0.0196 * x^3</t>
  </si>
  <si>
    <t>y =  270  +  98.9 * x + -1.85 * x^2 + 0.0111 * x^3</t>
  </si>
  <si>
    <t>y = 7474.3 - 5304.8 * exp(-0.035 * x)</t>
  </si>
  <si>
    <t>y = 4938.9 - 4191.3 * exp(-0.179 * x)</t>
  </si>
  <si>
    <t>y =  587 + 63 * x - 1.33 * x^2 + 0.0084 * x^3</t>
  </si>
  <si>
    <t>y =  333 + 34.7 * x - 0.71 * x^2 + 0.0046 * x^3</t>
  </si>
  <si>
    <t>y =  359 + 53.6 * x- 1.04 * x^2 + 0.0065 * x^3</t>
  </si>
  <si>
    <t>y =  273 + 46 * x - 0.9 * x^2 + 0.0059 * x^3</t>
  </si>
  <si>
    <t>y =  352  +  116.4 * x - 3.24 * x^2 + 0.0253 * x^3</t>
  </si>
  <si>
    <t>y =  261  +  71.5 * x - 2.02 * x^2 + 0.0167 * x^3</t>
  </si>
  <si>
    <t>y =  521  +  174.5 * x - 5.2 * x^2 + 0.0414 * x^3</t>
  </si>
  <si>
    <t>y =  443  +  158.2 * x - 4.98 * x^2 + 0.0416 * x^3</t>
  </si>
  <si>
    <t>y =  1577 + 520.6 * x - 15.45 * x^2 + 0.1249 * x^3</t>
  </si>
  <si>
    <t>y =  1551 + 197.4 * x - 3.99 * x^2 + 0.0254 * x^3</t>
  </si>
  <si>
    <t>y =  1652 + 315.4 * x - 6.77 * x^2 + 0.0442 * x^3</t>
  </si>
  <si>
    <t>y =  2751 + 130.6 * x - 1.5 * x^2 + 0.0097 * x^3</t>
  </si>
  <si>
    <t>y =  2169 + 643.1 * x - 15.72 * x^2 + 0.1226 * x^3</t>
  </si>
  <si>
    <t>y = 15555.8 - 12253.6 * exp(-0.026 * x)</t>
  </si>
  <si>
    <t>y =  975 + 126 * x - 2.51 * x^2 + 0.0167 * x^3</t>
  </si>
  <si>
    <t>y =  506 + 148 * x - 3.52 * x^2 + 0.0259 * x^3</t>
  </si>
  <si>
    <t>y =  334 + 217.8 * x - 5.55 * x^2 + 0.0445 * x^3</t>
  </si>
  <si>
    <t>y =  355 + 151.2 * x - 4.14 * x^2 + 0.0355 * x^3</t>
  </si>
  <si>
    <t>y =  422 + 286.1 * x - 5.79 * x^2 + 0.0336 * x^3</t>
  </si>
  <si>
    <t>y = 4244.9 - 3509.3 * exp(-0.071 * x)</t>
  </si>
  <si>
    <t>y = 23 + 83.1 * x - 1.84 * x^2 + 0.0113 * x^3</t>
  </si>
  <si>
    <t>y = 153 + 75.7 * x - 1.48 * x^2 + 0.0083 * x^3</t>
  </si>
  <si>
    <t>y = 140 + 73.2 * x - 1.38 * x^2 + 0.0075 * x^3</t>
  </si>
  <si>
    <t>y = 105 + 54.1 * x - 1.1 * x^2 + 0.0065 * x^3</t>
  </si>
  <si>
    <t>y = 1629 + 235.9 * x - 7.73 * x^2 + 0.0807 * x^3</t>
  </si>
  <si>
    <t>y = 421 + 88.7 * x - 2.91 * x^2 + 0.0277 * x^3</t>
  </si>
  <si>
    <t>y = 299 + 40.6 * x - 1.22 * x^2 + 0.0116 * x^3</t>
  </si>
  <si>
    <t>y = 584 + 29.9 * x - 1.03 * x^2 + 0.015 * x^3</t>
  </si>
  <si>
    <t>y = 326 + 76.7 * x - 2.58 * x^2 + 0.0264 * x^3</t>
  </si>
  <si>
    <t>y = 2415 + 145.6 * x - 2.67 * x^2 + 0.0152 * x^3</t>
  </si>
  <si>
    <t>y = 4837.2 - 2653.1 * exp(-0.138 * x)</t>
  </si>
  <si>
    <t>y = 600 + 40.3 * x - 0.98 * x^2 + 0.0066 * x^3</t>
  </si>
  <si>
    <t>y = 518 + 22.2 * x - 0.5 * x^2 + 0.0033 * x^3</t>
  </si>
  <si>
    <t>y = 726 + 44.2 * x - 0.71 * x^2 + 0.0036 * x^3</t>
  </si>
  <si>
    <t>y = 571 + 38.9 * x - 0.48 * x^2 + 0.0017 * x^3</t>
  </si>
  <si>
    <t>y = 684 + 648.5 * x - 16.09 * x^2 + 0.1069 * x^3</t>
  </si>
  <si>
    <t>y = 6264.8 - 6280.6 * exp(-0.238 * x)</t>
  </si>
  <si>
    <t>y = 149 + 260.8 * x - 6.56 * x^2 + 0.0436 * x^3</t>
  </si>
  <si>
    <t>y = 95 + 148.4 * x - 3.87 * x^2 + 0.0271 * x^3</t>
  </si>
  <si>
    <t>y = 187 + 152.5 * x- 3.69 * x^2 + 0.0243 * x^3</t>
  </si>
  <si>
    <t>y = 254 + 86.7 * x - 1.97 * x^2 + 0.0119 * x^3</t>
  </si>
  <si>
    <t>y = 674 + 3.1 * x + 0.32 * x^2 - 0.0038 * x^3</t>
  </si>
  <si>
    <t>y = 691 + 10.7 * x + 0.64 * x^2 - 0.008 * x^3</t>
  </si>
  <si>
    <t>y = 597 + 68.6 * x - 1.58 * x^2 + 0.0113 * x^3</t>
  </si>
  <si>
    <t>y = 463 + 64.7 * x - 1.69 * x^2 + 0.0132 * x^3</t>
  </si>
  <si>
    <t>y = 2426 + 147.1 * x - 2.31 * x^2 + 0.0128 * x^3</t>
  </si>
  <si>
    <t>y = 6194.6 - 3750.7 * exp(-0.04 * x)</t>
  </si>
  <si>
    <t>y = 1111 + 297.7 * x - 5.9 * x^2 + 0.0349 * x^3</t>
  </si>
  <si>
    <t>y = 5472 - 4959.5 * exp(-0.159 * x)</t>
  </si>
  <si>
    <t>y = 286 + 101.1 * x - 2.24 * x^2 + 0.0139 * x^3</t>
  </si>
  <si>
    <t>y = 238 + 36.8 * x - 0.6 * x^2 + 0.0032 * x^3</t>
  </si>
  <si>
    <t>y = 332 + 77.1 * x - 1.35 * x^2 + 0.0073 * x^3</t>
  </si>
  <si>
    <t>y = 254 + 82.7 * x - 1.71 * x^2 + 0.0105 * x^3</t>
  </si>
  <si>
    <t>y = 688 + 432.3 * x - 8.95 * x^2 + 0.056 * x^3</t>
  </si>
  <si>
    <t>y = 8041.5 - 6687 * exp(-0.046 * x)</t>
  </si>
  <si>
    <t>y = 214 + 95.6 * x - 1.61 * x^2 + 0.0083 * x^3</t>
  </si>
  <si>
    <t>y = 179 + 73.4 * x - 1.48 * x^2 + 0.0091 * x^3</t>
  </si>
  <si>
    <t>y = 182 + 158.7 * x - 3.52 * x^2 + 0.0227 * x^3</t>
  </si>
  <si>
    <t>y = 114 + 104.6 * x - 2.34 * x^2 + 0.0159 * x^3</t>
  </si>
  <si>
    <t>y = 1026.7 + 73 * x</t>
  </si>
  <si>
    <t>y = 1388.6 + 20.8 * x</t>
  </si>
  <si>
    <t>y = 344.9 + 24.7 * x</t>
  </si>
  <si>
    <t>y = 367 + 17.3 * x</t>
  </si>
  <si>
    <t>y = 503.2 + 9.9 * x</t>
  </si>
  <si>
    <t>Unknown</t>
  </si>
  <si>
    <t>Upper_cm</t>
  </si>
  <si>
    <t>Lower_cm</t>
  </si>
  <si>
    <t>Climate</t>
  </si>
  <si>
    <t>Semi-Arid</t>
  </si>
  <si>
    <t>Arid</t>
  </si>
  <si>
    <t>Mediterranean</t>
  </si>
  <si>
    <t>Continental Mild Summer</t>
  </si>
  <si>
    <t>Humid Continental Hot Summers</t>
  </si>
  <si>
    <t>Humid Continental Mild Summer</t>
  </si>
  <si>
    <t>Minneapolis/St.Paul, Minnesota</t>
  </si>
  <si>
    <t>0-11.4</t>
  </si>
  <si>
    <t>0-15.2</t>
  </si>
  <si>
    <t>0-10, 10-20, 20-30, 30-40</t>
  </si>
  <si>
    <t>0-20</t>
  </si>
  <si>
    <t>0 - 83</t>
  </si>
  <si>
    <t>0 - 94</t>
  </si>
  <si>
    <t>0 - 93</t>
  </si>
  <si>
    <t>0 - 100</t>
  </si>
  <si>
    <t>0 - 73</t>
  </si>
  <si>
    <t>0 - 74</t>
  </si>
  <si>
    <t>1 - 103</t>
  </si>
  <si>
    <t>4 - 122</t>
  </si>
  <si>
    <t>10 - 170</t>
  </si>
  <si>
    <t>7 - 81</t>
  </si>
  <si>
    <t>8 - 62</t>
  </si>
  <si>
    <t>6 - 101</t>
  </si>
  <si>
    <t>7 - 59</t>
  </si>
  <si>
    <t>No trend</t>
  </si>
  <si>
    <t>Trammell2020</t>
  </si>
  <si>
    <t>Trammell2020_Baltimore</t>
  </si>
  <si>
    <t>Trammell2020_Boston</t>
  </si>
  <si>
    <t>Trammell2020_LosAngeles</t>
  </si>
  <si>
    <t>Trammell2020_Minneapolis</t>
  </si>
  <si>
    <t>Trammell2020_Phoenix</t>
  </si>
  <si>
    <t>Trammell2020_Miami</t>
  </si>
  <si>
    <t>Boston, MA</t>
  </si>
  <si>
    <t>Miami, FL</t>
  </si>
  <si>
    <t>Am</t>
  </si>
  <si>
    <t>Tropical Monsoon</t>
  </si>
  <si>
    <t>Tropical</t>
  </si>
  <si>
    <t>y = 3368 + 106 * x</t>
  </si>
  <si>
    <t>y = 6761 + 86.4 * x</t>
  </si>
  <si>
    <t>y = 2132 + 16.2 * x</t>
  </si>
  <si>
    <t>y = 12067 - 12.9 * x</t>
  </si>
  <si>
    <t>y = 5773 + 117 * x</t>
  </si>
  <si>
    <t>y = 12506 - 19781 * exp(-0.099 * x)</t>
  </si>
  <si>
    <t>y = 2758 - 15054 * exp(-0.344 * x)</t>
  </si>
  <si>
    <t>y = 6893 - 7357.4 * exp(-0.059 * x)</t>
  </si>
  <si>
    <t>y = 3324.9 + 53 * x</t>
  </si>
  <si>
    <t>y = 385 + 134 * x - 1.4 * x^2</t>
  </si>
  <si>
    <t>y = 4787.3 - 4346.2 * exp(-0.031 * x)</t>
  </si>
  <si>
    <t>y = 3662 - 1781.8 * exp(-0.077 * x)</t>
  </si>
  <si>
    <t>y = 3221.3 - 9325.5 * exp(-0.102 * x)</t>
  </si>
  <si>
    <t>y = 393 + 28.3 * x - 0.26 * x^2</t>
  </si>
  <si>
    <t>y = 1270.2 - 877.9 * exp(-0.037 * x)</t>
  </si>
  <si>
    <t>y = 1992.7 - 1650.3 * exp(-0.037 * x)</t>
  </si>
  <si>
    <t>y = 3090.3 - 2364 * exp(-0.117 * x)</t>
  </si>
  <si>
    <t>y = 2810 + 113.7 * x - 1.03 * x^2</t>
  </si>
  <si>
    <t>y = 5099.8 - 101422.1 * exp(-0.334 * x)</t>
  </si>
  <si>
    <t>y = 15288.1 - 11435 * exp(-0.007 * x)</t>
  </si>
  <si>
    <t>y = 1538.1 + 18.5 * x</t>
  </si>
  <si>
    <t>y = 1829.4 + 87.3 * x</t>
  </si>
  <si>
    <t>y = 1538.9 + 10.1 * x</t>
  </si>
  <si>
    <t>y = 5222.4 + 76.3 * x</t>
  </si>
  <si>
    <t>y = 1734.7 + 1.2 * x</t>
  </si>
  <si>
    <t>y = 1590.2 + 51.8 * x</t>
  </si>
  <si>
    <t>y = 2546.6 + 3.6 * x</t>
  </si>
  <si>
    <t>y = 3132.5 + 110.8 * x</t>
  </si>
  <si>
    <t>y = 2832.7 + 1.3 * x</t>
  </si>
  <si>
    <t>y = 9233.9 + -14.2 * x</t>
  </si>
  <si>
    <t>y = 863.7 + 6.9 * x</t>
  </si>
  <si>
    <t>y = 1268.1 + 9.3 * x</t>
  </si>
  <si>
    <t>Continental Hot Summer</t>
  </si>
  <si>
    <t>Forest</t>
  </si>
  <si>
    <t>Desert</t>
  </si>
  <si>
    <t>Shrubland</t>
  </si>
  <si>
    <t>Grassland</t>
  </si>
  <si>
    <t>Cropland</t>
  </si>
  <si>
    <t>PriorLanduse</t>
  </si>
  <si>
    <t>Pasture/Turf</t>
  </si>
  <si>
    <t>y = 7450 - 32.8 * x</t>
  </si>
  <si>
    <t>Golubiewski2006 and Pouyat2009</t>
  </si>
  <si>
    <t>y = 1282.8 + 45.8 * x</t>
  </si>
  <si>
    <t>y = 768.1 + 16.1 * x</t>
  </si>
  <si>
    <t>y = 473.4 + 19.2 * x</t>
  </si>
  <si>
    <t>y = 4060.8 + 98.8 * x</t>
  </si>
  <si>
    <t>y = 1220.8 + 12.7 * x</t>
  </si>
  <si>
    <t>y = 991 + -2.5 * x + 0.1 * x^2</t>
  </si>
  <si>
    <t>y = 1086 + -15.9 * x + 0.23 * x^2</t>
  </si>
  <si>
    <t>y = 1926.2 + 25.7 * x</t>
  </si>
  <si>
    <t>y = 2837 - 250 * x + 11.9 * x^2 + -0.1556 * x^3</t>
  </si>
  <si>
    <t>y = 2470 - 212.8 * x + 8.12 * x^2 + -0.0937 * x^3</t>
  </si>
  <si>
    <t>y = 2966 - 196.4 * x + 6.19 * x^2 + -0.0605 * x^3</t>
  </si>
  <si>
    <t>y = 2887 - 256.6 * x + 9.67 * x^2 + -0.112 * x^3</t>
  </si>
  <si>
    <t>y = 2491 + 43.9 * x - 0.47 * x^2</t>
  </si>
  <si>
    <t>y = 611 + 57.9 * x - 0.46 * x^2</t>
  </si>
  <si>
    <t>y = 1034 + 128.5 * x - 2.06 * x^2 + 0.0104 * x^3</t>
  </si>
  <si>
    <t>y = 1721 - 79.4 * x + 1.31 * x^2</t>
  </si>
  <si>
    <t>y = 2347 - 154.2 * x + 4.18 * x^2 - 0.0373 * x^3</t>
  </si>
  <si>
    <t>No increase</t>
  </si>
  <si>
    <t>y = 6279.4 - 3350.7 * exp(-0.032 * x)</t>
  </si>
  <si>
    <t>Short term</t>
  </si>
  <si>
    <t>Few data</t>
  </si>
  <si>
    <t>Data provided by author.</t>
  </si>
  <si>
    <t>Caruso_Fit</t>
  </si>
  <si>
    <t>Fit</t>
  </si>
  <si>
    <t>dSOC_Eqn</t>
  </si>
  <si>
    <t>y = 113.7 -(2 * 1.03) * x</t>
  </si>
  <si>
    <t>y = -915.8 + (2* 35.9) * x - (3 * 0.42) * x^2</t>
  </si>
  <si>
    <t>y = 147 - (2*2.7) * x + (3*0.018) * x^2</t>
  </si>
  <si>
    <t>y = -150 + (2*2.68) * x</t>
  </si>
  <si>
    <t>y = 104 - (2 * 1.6) * x</t>
  </si>
  <si>
    <t>y = 134 -(2 * 1.4) * x</t>
  </si>
  <si>
    <t>y = 136 - (2 * 1.03) * x</t>
  </si>
  <si>
    <t>y = 28.3 - (2 * 0.26) * x</t>
  </si>
  <si>
    <t>y = 121 - (2 * 1.1) * x</t>
  </si>
  <si>
    <t>y = 88.4 + (2 * 2.11) * x - ( 3 * 0.0281) * x^2</t>
  </si>
  <si>
    <t>y = 183.4 - (2 * 4.24) * x + ( 3 * 0.03) * x^2</t>
  </si>
  <si>
    <t>y = 257.1 - (2 * 4.09) * x + ( 3 * 0.0187) * x^2</t>
  </si>
  <si>
    <t>y = 225 - (2 * 5.24) * x  + ( 3 * 0.0369) * x^2</t>
  </si>
  <si>
    <t>y = 130.6 - (2 * 1.5) * x  + ( 3 * 0.0097) * x^2</t>
  </si>
  <si>
    <t>y = 315.4 - (2 * 6.77) * x  + ( 3 * 0.0442) * x^2</t>
  </si>
  <si>
    <t>y = 197.4 - (2 * 3.99) * x  + ( 3 * 0.0254) * x^2</t>
  </si>
  <si>
    <t>y = 520.6 - (2 * 15.45) * x  + ( 3 * 0.1249) * x^2</t>
  </si>
  <si>
    <t>y = 643.1 - (2 * 15.72) * x  + ( 3 * 0.1226) * x^2</t>
  </si>
  <si>
    <t>y = 286.1 - (2 * 5.79) * x  + ( 3 * 0.0336) * x^2</t>
  </si>
  <si>
    <t>y = 235.9 - (2 * 7.73) * x  + ( 3 * 0.0807) * x^2</t>
  </si>
  <si>
    <t>y = 145.6 - (2 * 2.67) * x  + ( 3 * 0.0152) * x^2</t>
  </si>
  <si>
    <t>y = 648.5 - (2 * 16.09) * x  + ( 3 * 0.1069) * x^2</t>
  </si>
  <si>
    <t>y = 147.1 - (2 * 2.31) * x  + ( 3 * 0.0128) * x^2</t>
  </si>
  <si>
    <t>y = 297.7 - (2 * 5.9) * x  + ( 3 * 0.0349) * x^2</t>
  </si>
  <si>
    <t>y = 432.3 - (2 *8.95) * x  + ( 3 * 0.056) * x^2</t>
  </si>
  <si>
    <t>y = (2150 * 11.7)/((x + 11.7)^2)</t>
  </si>
  <si>
    <t>y = (2737 * 6.52)/((x + 6.52)^2)</t>
  </si>
  <si>
    <t>y = 58.9 + 0* x</t>
  </si>
  <si>
    <t>y = 18.4 + 0 * x</t>
  </si>
  <si>
    <t>y = 0 * x -52</t>
  </si>
  <si>
    <t>y = 15.4 + 0 * x</t>
  </si>
  <si>
    <t>y = 16.2 + 0 * x</t>
  </si>
  <si>
    <t>y = 0 * x -12.9</t>
  </si>
  <si>
    <t>y = 117 + 0 * x</t>
  </si>
  <si>
    <t>y = 53 + 0 * x</t>
  </si>
  <si>
    <t>y = 86.4 + 0 * x</t>
  </si>
  <si>
    <t>y = 106 + 0 * x</t>
  </si>
  <si>
    <t>y = 143.3 + 0 * x</t>
  </si>
  <si>
    <t>y = 70 + 0 * x</t>
  </si>
  <si>
    <t>y = 73 + 0 * x</t>
  </si>
  <si>
    <t>y = 0 * x -32.8</t>
  </si>
  <si>
    <t>y = 82 + 0 * x</t>
  </si>
  <si>
    <t>y = 327 + 0 * x</t>
  </si>
  <si>
    <t>y = 52 + 0 * x</t>
  </si>
  <si>
    <t>y = 74 + 0 * x</t>
  </si>
  <si>
    <t>y = 78 + 0 * x</t>
  </si>
  <si>
    <t>y = 162.9 + 0 * x</t>
  </si>
  <si>
    <t>y = 140.8 + 0 * x</t>
  </si>
  <si>
    <t>y = 160 + 0 * x</t>
  </si>
  <si>
    <t>y = 183 + 0 * x</t>
  </si>
  <si>
    <t>y = 275 + 0 * x</t>
  </si>
  <si>
    <t>y = 34.8 + 0 * x</t>
  </si>
  <si>
    <t xml:space="preserve">y = 13.3 + 0 * x </t>
  </si>
  <si>
    <t>y = 0 + 0 * x</t>
  </si>
  <si>
    <t>y = 19 + 0 * x</t>
  </si>
  <si>
    <t>y = 29.1 + 0 * x</t>
  </si>
  <si>
    <t>y = -5.1 + 0 * x</t>
  </si>
  <si>
    <t>Caruso_DeltaSOC.10yrs</t>
  </si>
  <si>
    <t>Caruso_DeltaSOC.10yrs.SE</t>
  </si>
  <si>
    <t>Caruso_DeltaSOC.30yrs</t>
  </si>
  <si>
    <t>Caruso_DeltaSOC.30yrs.SE</t>
  </si>
  <si>
    <t>Caruso_DeltaSOC.50yrs</t>
  </si>
  <si>
    <t>Caruso_DeltaSOC.50yrs.SE</t>
  </si>
  <si>
    <t>Jan.GP</t>
  </si>
  <si>
    <t>Feb.GP</t>
  </si>
  <si>
    <t>Mar.GP</t>
  </si>
  <si>
    <t>April.GP</t>
  </si>
  <si>
    <t>May.GP</t>
  </si>
  <si>
    <t>June.GP</t>
  </si>
  <si>
    <t>July.GP</t>
  </si>
  <si>
    <t>Aug.GP</t>
  </si>
  <si>
    <t>Sep.GP</t>
  </si>
  <si>
    <t>Oct.GP</t>
  </si>
  <si>
    <t>Nov.GP</t>
  </si>
  <si>
    <t>Dec.GP</t>
  </si>
  <si>
    <t>Max mowing rate (per week)</t>
  </si>
  <si>
    <t>Jan.MowNum</t>
  </si>
  <si>
    <t>Feb.MowNum</t>
  </si>
  <si>
    <t>Mar.MowNum</t>
  </si>
  <si>
    <t>April.MowNum</t>
  </si>
  <si>
    <t>May.MowNum</t>
  </si>
  <si>
    <t>June.MowNum</t>
  </si>
  <si>
    <t>July.MowNum</t>
  </si>
  <si>
    <t>Aug.MowNum</t>
  </si>
  <si>
    <t>Sep.MowNum</t>
  </si>
  <si>
    <t>Oct.MowNum</t>
  </si>
  <si>
    <t>Nov.MowNum</t>
  </si>
  <si>
    <t>Dec.MowNum</t>
  </si>
  <si>
    <t>AnnualMowNum</t>
  </si>
  <si>
    <t>VarianceFactor</t>
  </si>
  <si>
    <t>Campbell2014_Roanoke_Cool</t>
  </si>
  <si>
    <t>Campbell2014_Roanoke_Warm</t>
  </si>
  <si>
    <t>Jan.DegC</t>
  </si>
  <si>
    <t>Feb.DegC</t>
  </si>
  <si>
    <t>Mar.DegC</t>
  </si>
  <si>
    <t>April.DegC</t>
  </si>
  <si>
    <t>May.DegC</t>
  </si>
  <si>
    <t>June.DegC</t>
  </si>
  <si>
    <t>July.DegC</t>
  </si>
  <si>
    <t>Aug.DegC</t>
  </si>
  <si>
    <t>Sep.DegC</t>
  </si>
  <si>
    <t>Oct.DegC</t>
  </si>
  <si>
    <t>Nov.DegC</t>
  </si>
  <si>
    <t>Dec.DegC</t>
  </si>
  <si>
    <t>Optimal.DegC</t>
  </si>
  <si>
    <t>Mower</t>
  </si>
  <si>
    <t>Jacobsen Eclipse 322 hybrid gasoline reel mower</t>
  </si>
  <si>
    <t>Gallons diesel per ha</t>
  </si>
  <si>
    <t>John Deere 7500A fairway mower</t>
  </si>
  <si>
    <t>Toro Groundsmaster 4300D</t>
  </si>
  <si>
    <t>(https://www.eia.gov/environment/emissions/co2_vol_mass.php)</t>
  </si>
  <si>
    <t>CO2 eq, 100 year</t>
  </si>
  <si>
    <t>Mowing_CO2flux</t>
  </si>
  <si>
    <t>Diesel_CO2eq</t>
  </si>
  <si>
    <t>Gasoline_CO2eq</t>
  </si>
  <si>
    <t>GasConsumption</t>
  </si>
  <si>
    <t>DieselConsumption</t>
  </si>
  <si>
    <t>HCC</t>
  </si>
  <si>
    <t>Gallons gasoline per ha</t>
  </si>
  <si>
    <t>EmissionsFactor</t>
  </si>
  <si>
    <t>EmissionsFactor_kg_ha</t>
  </si>
  <si>
    <t>Soldat's mowing speed (h per acre)</t>
  </si>
  <si>
    <t>DieselConsumption (gal per acre)</t>
  </si>
  <si>
    <t>GasConsumption (gal per acre)</t>
  </si>
  <si>
    <t>Diesel_CO2eq (kg per gal)</t>
  </si>
  <si>
    <t>Gasoline_CO2eq (kg per gal)</t>
  </si>
  <si>
    <t>Turf Type</t>
  </si>
  <si>
    <t>Putting greens</t>
  </si>
  <si>
    <t>Athletic fields</t>
  </si>
  <si>
    <t>Jan.MowFreq</t>
  </si>
  <si>
    <t>Max mowing Freq (days)</t>
  </si>
  <si>
    <t>Feb.MowFreq</t>
  </si>
  <si>
    <t>Mar.MowFreq</t>
  </si>
  <si>
    <t>Apr.MowFreq</t>
  </si>
  <si>
    <t>May.MowFreq</t>
  </si>
  <si>
    <t>June.MowFreq</t>
  </si>
  <si>
    <t>July.MowFreq</t>
  </si>
  <si>
    <t>Aug.MowFreq</t>
  </si>
  <si>
    <t>Sept.MowFreq</t>
  </si>
  <si>
    <t>Oct.MowFreq</t>
  </si>
  <si>
    <t>Nov.MowFreq</t>
  </si>
  <si>
    <t>Dec.MowFreq</t>
  </si>
  <si>
    <t>Push Mower</t>
  </si>
  <si>
    <t>N2O_SGWP100</t>
  </si>
  <si>
    <t>Nfertilizer_CO2eq</t>
  </si>
  <si>
    <t>Neubauer &amp; Megonigal, 2015</t>
  </si>
  <si>
    <t>Hoxha &amp; Christensen, 2019, https://www.fertilizerseurope.com/wp-content/uploads/2020/01/The-carbon-footprint-of-fertilizer-production_Regional-reference-values.pdf</t>
  </si>
  <si>
    <t>Nfertilizer_EF</t>
  </si>
  <si>
    <t>0.01 * N-removed = N2O-N flux. Multiply by 44/28 to get N2O mass.</t>
  </si>
  <si>
    <t>N.B. Townsend-Small and Czimick used an EF of 4.513, Selhorst and Lal used and EF of 4.77</t>
  </si>
  <si>
    <t>N2Oflux_high</t>
  </si>
  <si>
    <t>N2Oflux_CO2eq_high</t>
  </si>
  <si>
    <t>N2Oflux_low</t>
  </si>
  <si>
    <t>N2Oflux_CO2eq_low</t>
  </si>
  <si>
    <t>0.15 = mean from Braun &amp; Bremer review, 2018, multiplied by 44/28 to get N2O mass.</t>
  </si>
  <si>
    <t>Contosta2020_Manchester</t>
  </si>
  <si>
    <t>Data provided by author, combined depths and fit with a linear regression</t>
  </si>
  <si>
    <t>Contosta et al., 2020</t>
  </si>
  <si>
    <t>8-149</t>
  </si>
  <si>
    <t>0-10, 10-20, 20-30, 30-40, 40-50</t>
  </si>
  <si>
    <t>0-10, 10-30, 30-70, 70-100</t>
  </si>
  <si>
    <t>y = 5479.9 + 32.6 * x</t>
  </si>
  <si>
    <t>y = 32.6 + 0 * x</t>
  </si>
  <si>
    <t>y = 2121.7 + 13.7 * x</t>
  </si>
  <si>
    <t>y = 2071.8 + 7 * x</t>
  </si>
  <si>
    <t>y = 1194.2 + 12.8 * x</t>
  </si>
  <si>
    <t>y = 808 + 16.3 * x</t>
  </si>
  <si>
    <t>y = 686.1 + 13.5 * x</t>
  </si>
  <si>
    <t>Units</t>
  </si>
  <si>
    <t>Worksheet: SequestrationRate_Total</t>
  </si>
  <si>
    <t>Grouped similar KoppenClimates</t>
  </si>
  <si>
    <r>
      <t>g N m</t>
    </r>
    <r>
      <rPr>
        <vertAlign val="superscript"/>
        <sz val="11"/>
        <color theme="1"/>
        <rFont val="Calibri"/>
        <family val="2"/>
        <scheme val="minor"/>
      </rPr>
      <t>-2</t>
    </r>
    <r>
      <rPr>
        <sz val="11"/>
        <color theme="1"/>
        <rFont val="Calibri"/>
        <family val="2"/>
        <scheme val="minor"/>
      </rPr>
      <t xml:space="preserve"> month</t>
    </r>
    <r>
      <rPr>
        <vertAlign val="superscript"/>
        <sz val="11"/>
        <color theme="1"/>
        <rFont val="Calibri"/>
        <family val="2"/>
        <scheme val="minor"/>
      </rPr>
      <t>-1</t>
    </r>
  </si>
  <si>
    <r>
      <t>g N m</t>
    </r>
    <r>
      <rPr>
        <vertAlign val="superscript"/>
        <sz val="11"/>
        <color theme="1"/>
        <rFont val="Calibri"/>
        <family val="2"/>
        <scheme val="minor"/>
      </rPr>
      <t>-2</t>
    </r>
    <r>
      <rPr>
        <sz val="11"/>
        <color theme="1"/>
        <rFont val="Calibri"/>
        <family val="2"/>
        <scheme val="minor"/>
      </rPr>
      <t xml:space="preserve"> yr</t>
    </r>
    <r>
      <rPr>
        <vertAlign val="superscript"/>
        <sz val="11"/>
        <color theme="1"/>
        <rFont val="Calibri"/>
        <family val="2"/>
        <scheme val="minor"/>
      </rPr>
      <t>-1</t>
    </r>
  </si>
  <si>
    <r>
      <t>g N</t>
    </r>
    <r>
      <rPr>
        <vertAlign val="subscript"/>
        <sz val="11"/>
        <color theme="1"/>
        <rFont val="Calibri"/>
        <family val="2"/>
        <scheme val="minor"/>
      </rPr>
      <t>2</t>
    </r>
    <r>
      <rPr>
        <sz val="11"/>
        <color theme="1"/>
        <rFont val="Calibri"/>
        <family val="2"/>
        <scheme val="minor"/>
      </rPr>
      <t>O m</t>
    </r>
    <r>
      <rPr>
        <vertAlign val="superscript"/>
        <sz val="11"/>
        <color theme="1"/>
        <rFont val="Calibri"/>
        <family val="2"/>
        <scheme val="minor"/>
      </rPr>
      <t>-2</t>
    </r>
    <r>
      <rPr>
        <sz val="11"/>
        <color theme="1"/>
        <rFont val="Calibri"/>
        <family val="2"/>
        <scheme val="minor"/>
      </rPr>
      <t xml:space="preserve"> yr</t>
    </r>
    <r>
      <rPr>
        <vertAlign val="superscript"/>
        <sz val="11"/>
        <color theme="1"/>
        <rFont val="Calibri"/>
        <family val="2"/>
        <scheme val="minor"/>
      </rPr>
      <t>-1</t>
    </r>
  </si>
  <si>
    <r>
      <t>g N</t>
    </r>
    <r>
      <rPr>
        <vertAlign val="subscript"/>
        <sz val="11"/>
        <color theme="1"/>
        <rFont val="Calibri"/>
        <family val="2"/>
        <scheme val="minor"/>
      </rPr>
      <t>2</t>
    </r>
    <r>
      <rPr>
        <sz val="11"/>
        <color theme="1"/>
        <rFont val="Calibri"/>
        <family val="2"/>
        <scheme val="minor"/>
      </rPr>
      <t>O m</t>
    </r>
    <r>
      <rPr>
        <vertAlign val="superscript"/>
        <sz val="11"/>
        <color theme="1"/>
        <rFont val="Calibri"/>
        <family val="2"/>
        <scheme val="minor"/>
      </rPr>
      <t xml:space="preserve">-2 </t>
    </r>
    <r>
      <rPr>
        <sz val="11"/>
        <color theme="1"/>
        <rFont val="Calibri"/>
        <family val="2"/>
        <scheme val="minor"/>
      </rPr>
      <t>yr</t>
    </r>
    <r>
      <rPr>
        <vertAlign val="superscript"/>
        <sz val="11"/>
        <color theme="1"/>
        <rFont val="Calibri"/>
        <family val="2"/>
        <scheme val="minor"/>
      </rPr>
      <t>-1</t>
    </r>
  </si>
  <si>
    <r>
      <t>kg CO</t>
    </r>
    <r>
      <rPr>
        <vertAlign val="subscript"/>
        <sz val="11"/>
        <color theme="1"/>
        <rFont val="Calibri"/>
        <family val="2"/>
        <scheme val="minor"/>
      </rPr>
      <t>2</t>
    </r>
    <r>
      <rPr>
        <sz val="11"/>
        <color theme="1"/>
        <rFont val="Calibri"/>
        <family val="2"/>
        <scheme val="minor"/>
      </rPr>
      <t xml:space="preserve"> gallon</t>
    </r>
    <r>
      <rPr>
        <vertAlign val="superscript"/>
        <sz val="11"/>
        <color theme="1"/>
        <rFont val="Calibri"/>
        <family val="2"/>
        <scheme val="minor"/>
      </rPr>
      <t>-1</t>
    </r>
  </si>
  <si>
    <r>
      <t>kg CO</t>
    </r>
    <r>
      <rPr>
        <vertAlign val="subscript"/>
        <sz val="11"/>
        <color theme="1"/>
        <rFont val="Calibri"/>
        <family val="2"/>
        <scheme val="minor"/>
      </rPr>
      <t>2</t>
    </r>
    <r>
      <rPr>
        <sz val="11"/>
        <color theme="1"/>
        <rFont val="Calibri"/>
        <family val="2"/>
        <scheme val="minor"/>
      </rPr>
      <t xml:space="preserve"> ha</t>
    </r>
    <r>
      <rPr>
        <vertAlign val="superscript"/>
        <sz val="11"/>
        <color theme="1"/>
        <rFont val="Calibri"/>
        <family val="2"/>
        <scheme val="minor"/>
      </rPr>
      <t>-1</t>
    </r>
  </si>
  <si>
    <r>
      <t>g CO</t>
    </r>
    <r>
      <rPr>
        <vertAlign val="subscript"/>
        <sz val="11"/>
        <color theme="1"/>
        <rFont val="Calibri"/>
        <family val="2"/>
        <scheme val="minor"/>
      </rPr>
      <t>2</t>
    </r>
    <r>
      <rPr>
        <sz val="11"/>
        <color theme="1"/>
        <rFont val="Calibri"/>
        <family val="2"/>
        <scheme val="minor"/>
      </rPr>
      <t xml:space="preserve"> m</t>
    </r>
    <r>
      <rPr>
        <vertAlign val="superscript"/>
        <sz val="11"/>
        <color theme="1"/>
        <rFont val="Calibri"/>
        <family val="2"/>
        <scheme val="minor"/>
      </rPr>
      <t>-2</t>
    </r>
    <r>
      <rPr>
        <sz val="11"/>
        <color theme="1"/>
        <rFont val="Calibri"/>
        <family val="2"/>
        <scheme val="minor"/>
      </rPr>
      <t xml:space="preserve"> yr</t>
    </r>
    <r>
      <rPr>
        <vertAlign val="superscript"/>
        <sz val="11"/>
        <color theme="1"/>
        <rFont val="Calibri"/>
        <family val="2"/>
        <scheme val="minor"/>
      </rPr>
      <t>-1</t>
    </r>
  </si>
  <si>
    <r>
      <t>g CO2 g</t>
    </r>
    <r>
      <rPr>
        <vertAlign val="superscript"/>
        <sz val="11"/>
        <color theme="1"/>
        <rFont val="Calibri"/>
        <family val="2"/>
        <scheme val="minor"/>
      </rPr>
      <t>-1</t>
    </r>
    <r>
      <rPr>
        <sz val="11"/>
        <color theme="1"/>
        <rFont val="Calibri"/>
        <family val="2"/>
        <scheme val="minor"/>
      </rPr>
      <t xml:space="preserve"> N</t>
    </r>
  </si>
  <si>
    <r>
      <t>g CO2-eq m</t>
    </r>
    <r>
      <rPr>
        <vertAlign val="superscript"/>
        <sz val="11"/>
        <color theme="1"/>
        <rFont val="Calibri"/>
        <family val="2"/>
        <scheme val="minor"/>
      </rPr>
      <t>-2</t>
    </r>
    <r>
      <rPr>
        <sz val="11"/>
        <color theme="1"/>
        <rFont val="Calibri"/>
        <family val="2"/>
        <scheme val="minor"/>
      </rPr>
      <t xml:space="preserve"> yr</t>
    </r>
    <r>
      <rPr>
        <vertAlign val="superscript"/>
        <sz val="11"/>
        <color theme="1"/>
        <rFont val="Calibri"/>
        <family val="2"/>
        <scheme val="minor"/>
      </rPr>
      <t>-1</t>
    </r>
  </si>
  <si>
    <r>
      <t>g C m</t>
    </r>
    <r>
      <rPr>
        <vertAlign val="superscript"/>
        <sz val="11"/>
        <color theme="1"/>
        <rFont val="Calibri"/>
        <family val="2"/>
        <scheme val="minor"/>
      </rPr>
      <t>-2</t>
    </r>
    <r>
      <rPr>
        <sz val="11"/>
        <color theme="1"/>
        <rFont val="Calibri"/>
        <family val="2"/>
        <scheme val="minor"/>
      </rPr>
      <t xml:space="preserve"> yr</t>
    </r>
    <r>
      <rPr>
        <vertAlign val="superscript"/>
        <sz val="11"/>
        <color theme="1"/>
        <rFont val="Calibri"/>
        <family val="2"/>
        <scheme val="minor"/>
      </rPr>
      <t>-1</t>
    </r>
  </si>
  <si>
    <r>
      <t>g C m</t>
    </r>
    <r>
      <rPr>
        <vertAlign val="superscript"/>
        <sz val="11"/>
        <color theme="1"/>
        <rFont val="Calibri"/>
        <family val="2"/>
        <scheme val="minor"/>
      </rPr>
      <t>-2</t>
    </r>
  </si>
  <si>
    <t>Notes</t>
  </si>
  <si>
    <t>Worksheet: Calculation of HCC</t>
  </si>
  <si>
    <t>Acuna et al., 2017</t>
  </si>
  <si>
    <t>0 - 2</t>
  </si>
  <si>
    <t>0-10, 10-20, 20-30</t>
  </si>
  <si>
    <t>Braun and Bremer, 2019</t>
  </si>
  <si>
    <t>Manhattan, Kansas, USA</t>
  </si>
  <si>
    <t>0 - 3</t>
  </si>
  <si>
    <t>Law et al. 2016</t>
  </si>
  <si>
    <t>West Lafyette, Indiana, USA</t>
  </si>
  <si>
    <t>1-3</t>
  </si>
  <si>
    <t>0-5.1</t>
  </si>
  <si>
    <t>Qian et al., 2010</t>
  </si>
  <si>
    <t>Nebraska City, Nebraska, USA</t>
  </si>
  <si>
    <t>0.17 - 4</t>
  </si>
  <si>
    <t>0-10, 10-20</t>
  </si>
  <si>
    <t>Climate Description</t>
  </si>
  <si>
    <t>Prior Land use</t>
  </si>
  <si>
    <t>2. Authors reported 0-5 cm depth with a linear fit, and did not report the non-linear relationships for deeper interals. We fit 3rd order polynomials to all intervals.</t>
  </si>
  <si>
    <r>
      <t>0-10, 10-20, 20-30</t>
    </r>
    <r>
      <rPr>
        <vertAlign val="superscript"/>
        <sz val="12"/>
        <color theme="1"/>
        <rFont val="Times New Roman"/>
        <family val="1"/>
      </rPr>
      <t>1</t>
    </r>
  </si>
  <si>
    <r>
      <t>Linear</t>
    </r>
    <r>
      <rPr>
        <vertAlign val="superscript"/>
        <sz val="12"/>
        <color theme="1"/>
        <rFont val="Times New Roman"/>
        <family val="1"/>
      </rPr>
      <t>2</t>
    </r>
  </si>
  <si>
    <r>
      <t>Linear/Spline</t>
    </r>
    <r>
      <rPr>
        <vertAlign val="superscript"/>
        <sz val="12"/>
        <color theme="1"/>
        <rFont val="Times New Roman"/>
        <family val="1"/>
      </rPr>
      <t>3</t>
    </r>
  </si>
  <si>
    <r>
      <t>Linear</t>
    </r>
    <r>
      <rPr>
        <vertAlign val="superscript"/>
        <sz val="12"/>
        <color theme="1"/>
        <rFont val="Times New Roman"/>
        <family val="1"/>
      </rPr>
      <t>4</t>
    </r>
  </si>
  <si>
    <t>Near Denver and Loveland, Colorado, USA</t>
  </si>
  <si>
    <t>Saratoga, Wyoming, USA</t>
  </si>
  <si>
    <t>Baltimore, Maryland, USA</t>
  </si>
  <si>
    <t>Lubbock, Texas, USA</t>
  </si>
  <si>
    <t>Roanoke, Virginia, USA</t>
  </si>
  <si>
    <t>Manchester, New Hampshire, USA</t>
  </si>
  <si>
    <t>Denver, Colorado, USA</t>
  </si>
  <si>
    <t>Auburn, Alabama, USA</t>
  </si>
  <si>
    <t>Ohio, USA</t>
  </si>
  <si>
    <t>Albuquerque, New Mexico, USA</t>
  </si>
  <si>
    <t>Cheyenne, Wyoming, USA</t>
  </si>
  <si>
    <t>Atlanta, Georgia, USA</t>
  </si>
  <si>
    <t>Dallas, Texas, USA</t>
  </si>
  <si>
    <t>Duluth, Minnesota, USA</t>
  </si>
  <si>
    <t>Houston, Texas, USA</t>
  </si>
  <si>
    <t>Las Vegas, Nevada, USA</t>
  </si>
  <si>
    <t>Minneapolis, Minnesota, USA</t>
  </si>
  <si>
    <t>Orlando, Florida, USA</t>
  </si>
  <si>
    <t>Phoenix, Arizona, USA</t>
  </si>
  <si>
    <t>Portland, Maine, USA</t>
  </si>
  <si>
    <t>San Francisco, California, USA</t>
  </si>
  <si>
    <t>Seattle, Washington, USA</t>
  </si>
  <si>
    <t>Wichita, Kansas, USA</t>
  </si>
  <si>
    <t>Wooster, Ohio, USA</t>
  </si>
  <si>
    <t>North Carolina, USA</t>
  </si>
  <si>
    <t>Salt Lake Valley, Utah, USA</t>
  </si>
  <si>
    <t>Los Angeles, California, USA</t>
  </si>
  <si>
    <t>Boston, Massachusettes, USA</t>
  </si>
  <si>
    <t>Miami, Florida, USA</t>
  </si>
  <si>
    <t>Durham, North Carolina, USA</t>
  </si>
  <si>
    <t>N_max_monthly_use</t>
  </si>
  <si>
    <t>Annual_N_use</t>
  </si>
  <si>
    <t>Dominant Species</t>
  </si>
  <si>
    <t>Author shared data.</t>
  </si>
  <si>
    <t>Data source</t>
  </si>
  <si>
    <t>Data available in data repository Zenodo at 10.5281/zenodo.3588461</t>
  </si>
  <si>
    <t>WebPlotDigitizer, only coarse ages (decades) known for housing age.</t>
  </si>
  <si>
    <t>WebPlotDigitizer. Corresponding author does not appear to be active.</t>
  </si>
  <si>
    <t>Kentucky bluegrass 
(Poa pratensis)</t>
  </si>
  <si>
    <t>Creeping bentgrass 
(Agrostis stolonifera)</t>
  </si>
  <si>
    <t>https://doi.org/10.6073/pasta/3847c58578bd9d5987a49e55066b497b</t>
  </si>
  <si>
    <t>Contacted Selhorst, who said original data are no longer available</t>
  </si>
  <si>
    <t>Did not contact. Small and old dataset, values were easy to extract with WebPlotDigitizer</t>
  </si>
  <si>
    <t>Author shared data. Partial dataset available here: https://portal.edirepository.org/nis/mapbrowse?packageid=edi.258.1</t>
  </si>
  <si>
    <t>No response. Used WebPlotDigitizer.</t>
  </si>
  <si>
    <t>No response, imputed standard errors.</t>
  </si>
  <si>
    <t>No response. Imputed standard errors.</t>
  </si>
  <si>
    <t>Did not contact because baseline SOC stocks were estimated. Imputed standard errors.</t>
  </si>
  <si>
    <t>Did not contact, because data extracted with WebPlotDigitizer recreated the published regression very well.</t>
  </si>
  <si>
    <t>Transitional</t>
  </si>
  <si>
    <r>
      <t>Cool</t>
    </r>
    <r>
      <rPr>
        <vertAlign val="superscript"/>
        <sz val="12"/>
        <color theme="1"/>
        <rFont val="Times New Roman"/>
        <family val="1"/>
      </rPr>
      <t>5</t>
    </r>
  </si>
  <si>
    <t>1. The total sequestration reported here differs from that reported by Bruan and Bremer, because they reported mean rather than total SOC sequestration rate across depths.</t>
  </si>
  <si>
    <t>4. Authors applied a linear regression to the whole profile, but the 10-30, 30-70, and 70-100 cm intervals had non-linear trends. We fit these intervals with 3rd order polynomials, and fit a linear regression to the whole profile.</t>
  </si>
  <si>
    <t>5. Seasonality for these cities is based on findings by Trammell et al. (2019). Contrary to expectation, they showed that in Los Angeles, CA, lawns were composed of only 33% C4 species.</t>
  </si>
  <si>
    <t>3. Authors used linear regression in Huyler et al., 2014 and localized polynomial fitting in Huyler et al., 2017. We applied the most parsimonious polynomial regressions to each depth interval, which were a linear, 2nd order, and third order polynomial to the top, mid, and bottom interval,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</si>
</sst>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7">
    <font>
      <sz val="11"/>
      <color theme="1"/>
      <name val="Calibri"/>
      <family val="2"/>
      <scheme val="minor"/>
    </font>
    <font>
      <b/>
      <sz val="11"/>
      <color theme="1"/>
      <name val="Calibri"/>
      <family val="2"/>
      <scheme val="minor"/>
    </font>
    <font>
      <vertAlign val="superscript"/>
      <sz val="11"/>
      <color theme="1"/>
      <name val="Calibri"/>
      <family val="2"/>
      <scheme val="minor"/>
    </font>
    <font>
      <i/>
      <sz val="11"/>
      <color rgb="FFFF0000"/>
      <name val="Calibri"/>
      <family val="2"/>
      <scheme val="minor"/>
    </font>
    <font>
      <sz val="11"/>
      <color theme="1"/>
      <name val="Times New Roman"/>
      <family val="1"/>
    </font>
    <font>
      <i/>
      <sz val="11"/>
      <color theme="1"/>
      <name val="Calibri"/>
      <family val="2"/>
      <scheme val="minor"/>
    </font>
    <font>
      <sz val="9"/>
      <color theme="1"/>
      <name val="GillSansMT"/>
    </font>
    <font>
      <sz val="11"/>
      <color theme="0" tint="-0.499984740745262"/>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sz val="12"/>
      <color theme="1"/>
      <name val="Times New Roman"/>
      <family val="1"/>
    </font>
    <font>
      <sz val="12"/>
      <color theme="1"/>
      <name val="Times New Roman"/>
      <family val="1"/>
    </font>
    <font>
      <vertAlign val="superscript"/>
      <sz val="12"/>
      <color theme="1"/>
      <name val="Times New Roman"/>
      <family val="1"/>
    </font>
    <font>
      <u/>
      <sz val="11"/>
      <color theme="10"/>
      <name val="Calibri"/>
      <family val="2"/>
      <scheme val="minor"/>
    </font>
    <font>
      <u/>
      <sz val="12"/>
      <color theme="10"/>
      <name val="Times New Roman"/>
      <family val="1"/>
    </font>
    <font>
      <sz val="12"/>
      <color rgb="FF333333"/>
      <name val="Times New Roman"/>
      <family val="1"/>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9" fontId="9" fillId="0" borderId="0" applyFont="0" applyFill="0" applyBorder="0" applyAlignment="0" applyProtection="0"/>
    <xf numFmtId="0" fontId="14" fillId="0" borderId="0" applyNumberFormat="0" applyFill="0" applyBorder="0" applyAlignment="0" applyProtection="0"/>
  </cellStyleXfs>
  <cellXfs count="62">
    <xf numFmtId="0" fontId="0" fillId="0" borderId="0" xfId="0"/>
    <xf numFmtId="0" fontId="1" fillId="0" borderId="0" xfId="0" applyFont="1" applyAlignment="1">
      <alignment wrapText="1"/>
    </xf>
    <xf numFmtId="0" fontId="0" fillId="0" borderId="0" xfId="0" applyAlignment="1">
      <alignment wrapText="1"/>
    </xf>
    <xf numFmtId="164" fontId="0" fillId="0" borderId="0" xfId="0" applyNumberFormat="1"/>
    <xf numFmtId="0" fontId="1" fillId="0" borderId="0" xfId="0" applyFont="1"/>
    <xf numFmtId="1" fontId="0" fillId="0" borderId="0" xfId="0" applyNumberFormat="1"/>
    <xf numFmtId="0" fontId="3" fillId="0" borderId="0" xfId="0" applyFont="1"/>
    <xf numFmtId="0" fontId="5" fillId="0" borderId="0" xfId="0" applyFont="1"/>
    <xf numFmtId="0" fontId="0" fillId="0" borderId="0" xfId="0" applyFont="1"/>
    <xf numFmtId="0" fontId="0" fillId="0" borderId="0" xfId="0" applyFill="1"/>
    <xf numFmtId="0" fontId="6" fillId="0" borderId="0" xfId="0" applyFont="1"/>
    <xf numFmtId="0" fontId="7" fillId="0" borderId="0" xfId="0" applyFont="1"/>
    <xf numFmtId="0" fontId="8" fillId="0" borderId="0" xfId="0" applyFont="1"/>
    <xf numFmtId="164" fontId="0" fillId="0" borderId="0" xfId="0" applyNumberFormat="1" applyFont="1"/>
    <xf numFmtId="11" fontId="0" fillId="0" borderId="0" xfId="0" applyNumberFormat="1"/>
    <xf numFmtId="2" fontId="0" fillId="0" borderId="0" xfId="0" applyNumberFormat="1"/>
    <xf numFmtId="164" fontId="8" fillId="0" borderId="0" xfId="0" applyNumberFormat="1" applyFont="1"/>
    <xf numFmtId="0" fontId="8" fillId="0" borderId="0" xfId="0" applyFont="1" applyFill="1"/>
    <xf numFmtId="2" fontId="0" fillId="0" borderId="0" xfId="0" applyNumberFormat="1" applyFill="1"/>
    <xf numFmtId="2" fontId="0" fillId="0" borderId="0" xfId="0" applyNumberFormat="1" applyFont="1"/>
    <xf numFmtId="0" fontId="0" fillId="0" borderId="0" xfId="0" applyNumberFormat="1" applyFont="1"/>
    <xf numFmtId="0" fontId="0" fillId="2" borderId="1" xfId="0" applyFill="1" applyBorder="1" applyAlignment="1">
      <alignment wrapText="1"/>
    </xf>
    <xf numFmtId="0" fontId="0" fillId="2" borderId="1" xfId="0" applyFill="1" applyBorder="1"/>
    <xf numFmtId="0" fontId="0" fillId="2" borderId="0" xfId="0" applyFill="1" applyBorder="1" applyAlignment="1">
      <alignment wrapText="1"/>
    </xf>
    <xf numFmtId="0" fontId="0" fillId="2" borderId="0" xfId="0" applyFill="1" applyBorder="1"/>
    <xf numFmtId="9" fontId="0" fillId="0" borderId="0" xfId="1" applyFont="1"/>
    <xf numFmtId="1" fontId="1" fillId="0" borderId="0" xfId="0" applyNumberFormat="1" applyFont="1"/>
    <xf numFmtId="2" fontId="1" fillId="0" borderId="0" xfId="0" applyNumberFormat="1" applyFont="1"/>
    <xf numFmtId="0" fontId="0" fillId="0" borderId="0" xfId="0" applyFont="1" applyAlignment="1">
      <alignment wrapText="1"/>
    </xf>
    <xf numFmtId="0" fontId="1" fillId="0" borderId="0" xfId="0" applyFont="1" applyAlignment="1">
      <alignment horizontal="left"/>
    </xf>
    <xf numFmtId="0" fontId="0" fillId="0" borderId="0" xfId="1" applyNumberFormat="1" applyFont="1"/>
    <xf numFmtId="0" fontId="0" fillId="0" borderId="0" xfId="0" applyNumberFormat="1"/>
    <xf numFmtId="165" fontId="0" fillId="0" borderId="0" xfId="0" applyNumberFormat="1"/>
    <xf numFmtId="0" fontId="0" fillId="2" borderId="2" xfId="0" applyFont="1" applyFill="1" applyBorder="1"/>
    <xf numFmtId="0" fontId="0" fillId="2" borderId="2" xfId="0" applyFill="1" applyBorder="1"/>
    <xf numFmtId="164" fontId="0" fillId="0" borderId="0" xfId="0" applyNumberFormat="1" applyAlignment="1">
      <alignment horizontal="center"/>
    </xf>
    <xf numFmtId="0" fontId="11" fillId="0" borderId="0" xfId="0" applyFont="1" applyBorder="1" applyAlignment="1">
      <alignment wrapText="1"/>
    </xf>
    <xf numFmtId="0" fontId="11" fillId="0" borderId="0" xfId="0" applyFont="1" applyBorder="1" applyAlignment="1">
      <alignment horizontal="center" wrapText="1"/>
    </xf>
    <xf numFmtId="0" fontId="11" fillId="0" borderId="0" xfId="0" applyFont="1" applyBorder="1" applyAlignment="1">
      <alignment horizontal="center"/>
    </xf>
    <xf numFmtId="0" fontId="12" fillId="0" borderId="0" xfId="0" applyFont="1" applyBorder="1" applyAlignment="1">
      <alignment wrapText="1"/>
    </xf>
    <xf numFmtId="0" fontId="12" fillId="0" borderId="0" xfId="0" quotePrefix="1" applyFont="1" applyBorder="1" applyAlignment="1">
      <alignment horizontal="center" wrapText="1"/>
    </xf>
    <xf numFmtId="0" fontId="12" fillId="0" borderId="0" xfId="0" applyFont="1" applyBorder="1" applyAlignment="1">
      <alignment horizontal="center" wrapText="1"/>
    </xf>
    <xf numFmtId="0" fontId="12" fillId="0" borderId="0" xfId="0" quotePrefix="1" applyFont="1" applyBorder="1" applyAlignment="1">
      <alignment horizontal="center"/>
    </xf>
    <xf numFmtId="0" fontId="12" fillId="0" borderId="0" xfId="0" applyFont="1" applyBorder="1" applyAlignment="1">
      <alignment horizontal="center"/>
    </xf>
    <xf numFmtId="0" fontId="12" fillId="0" borderId="0" xfId="0" applyFont="1" applyFill="1" applyBorder="1" applyAlignment="1">
      <alignment wrapText="1"/>
    </xf>
    <xf numFmtId="0" fontId="12" fillId="0" borderId="0" xfId="0" applyFont="1" applyFill="1" applyBorder="1" applyAlignment="1">
      <alignment horizontal="center"/>
    </xf>
    <xf numFmtId="17" fontId="12" fillId="0" borderId="0" xfId="0" quotePrefix="1" applyNumberFormat="1" applyFont="1" applyBorder="1" applyAlignment="1">
      <alignment horizontal="center"/>
    </xf>
    <xf numFmtId="0" fontId="4" fillId="0" borderId="0" xfId="0" applyFont="1" applyBorder="1" applyAlignment="1">
      <alignment horizontal="center"/>
    </xf>
    <xf numFmtId="0" fontId="11" fillId="0" borderId="0" xfId="0" applyFont="1" applyBorder="1" applyAlignment="1"/>
    <xf numFmtId="0" fontId="4" fillId="0" borderId="0" xfId="0" applyFont="1" applyBorder="1" applyAlignment="1"/>
    <xf numFmtId="0" fontId="12" fillId="0" borderId="0" xfId="0" applyFont="1" applyBorder="1" applyAlignment="1"/>
    <xf numFmtId="0" fontId="15" fillId="0" borderId="0" xfId="2" applyFont="1" applyBorder="1" applyAlignment="1"/>
    <xf numFmtId="14" fontId="12" fillId="0" borderId="0" xfId="0" applyNumberFormat="1" applyFont="1" applyBorder="1" applyAlignment="1"/>
    <xf numFmtId="0" fontId="12" fillId="0" borderId="0" xfId="0" applyFont="1" applyFill="1" applyBorder="1" applyAlignment="1"/>
    <xf numFmtId="0" fontId="0" fillId="0" borderId="0" xfId="0" applyAlignment="1"/>
    <xf numFmtId="0" fontId="16" fillId="0" borderId="0" xfId="0" applyFont="1" applyBorder="1" applyAlignment="1"/>
    <xf numFmtId="0" fontId="12" fillId="0" borderId="0" xfId="0" applyFont="1" applyBorder="1" applyAlignment="1">
      <alignment horizontal="left" wrapText="1"/>
    </xf>
    <xf numFmtId="0" fontId="12" fillId="0" borderId="0" xfId="0" applyFont="1" applyBorder="1" applyAlignment="1">
      <alignment horizontal="left"/>
    </xf>
    <xf numFmtId="0" fontId="4" fillId="0" borderId="0" xfId="0" applyFont="1" applyAlignment="1"/>
    <xf numFmtId="0" fontId="4" fillId="0" borderId="0" xfId="0" applyFont="1" applyFill="1" applyAlignment="1"/>
    <xf numFmtId="0" fontId="4" fillId="0" borderId="0" xfId="0" applyFont="1" applyBorder="1" applyAlignment="1">
      <alignment horizontal="left"/>
    </xf>
    <xf numFmtId="0" fontId="12" fillId="0" borderId="0" xfId="0" applyFont="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i.org/10.5281/zenodo.358846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9"/>
  <sheetViews>
    <sheetView topLeftCell="A52" zoomScale="87" zoomScaleNormal="87" workbookViewId="0">
      <selection activeCell="A67" sqref="A67:G67"/>
    </sheetView>
  </sheetViews>
  <sheetFormatPr defaultColWidth="9.1796875" defaultRowHeight="15.5"/>
  <cols>
    <col min="1" max="1" width="30" style="50" customWidth="1"/>
    <col min="2" max="2" width="22.453125" style="50" customWidth="1"/>
    <col min="3" max="3" width="16.6328125" style="50" bestFit="1" customWidth="1"/>
    <col min="4" max="4" width="26.08984375" style="39" customWidth="1"/>
    <col min="5" max="5" width="14.7265625" style="43" bestFit="1" customWidth="1"/>
    <col min="6" max="6" width="18.90625" style="43" bestFit="1" customWidth="1"/>
    <col min="7" max="7" width="26" style="43" bestFit="1" customWidth="1"/>
    <col min="8" max="8" width="24.08984375" style="43" bestFit="1" customWidth="1"/>
    <col min="9" max="9" width="19.54296875" style="43" bestFit="1" customWidth="1"/>
    <col min="10" max="10" width="27.7265625" style="41" customWidth="1"/>
    <col min="11" max="11" width="19.54296875" style="47" customWidth="1"/>
    <col min="12" max="12" width="10.1796875" style="50" bestFit="1" customWidth="1"/>
    <col min="13" max="16384" width="9.1796875" style="49"/>
  </cols>
  <sheetData>
    <row r="1" spans="1:12" ht="45">
      <c r="A1" s="48" t="s">
        <v>93</v>
      </c>
      <c r="B1" s="48" t="s">
        <v>1</v>
      </c>
      <c r="C1" s="48" t="s">
        <v>95</v>
      </c>
      <c r="D1" s="36" t="s">
        <v>10</v>
      </c>
      <c r="E1" s="37" t="s">
        <v>101</v>
      </c>
      <c r="F1" s="37" t="s">
        <v>97</v>
      </c>
      <c r="G1" s="37" t="s">
        <v>114</v>
      </c>
      <c r="H1" s="37" t="s">
        <v>745</v>
      </c>
      <c r="I1" s="38" t="s">
        <v>746</v>
      </c>
      <c r="J1" s="37" t="s">
        <v>784</v>
      </c>
      <c r="K1" s="38" t="s">
        <v>220</v>
      </c>
      <c r="L1" s="48" t="s">
        <v>786</v>
      </c>
    </row>
    <row r="2" spans="1:12">
      <c r="A2" s="50" t="s">
        <v>731</v>
      </c>
      <c r="B2" s="50" t="s">
        <v>138</v>
      </c>
      <c r="C2" s="50" t="s">
        <v>175</v>
      </c>
      <c r="D2" s="39" t="s">
        <v>67</v>
      </c>
      <c r="E2" s="40" t="s">
        <v>732</v>
      </c>
      <c r="F2" s="41" t="s">
        <v>99</v>
      </c>
      <c r="G2" s="42" t="s">
        <v>733</v>
      </c>
      <c r="H2" s="43" t="s">
        <v>445</v>
      </c>
      <c r="I2" s="43" t="s">
        <v>517</v>
      </c>
      <c r="J2" s="39" t="s">
        <v>217</v>
      </c>
      <c r="K2" s="50" t="s">
        <v>226</v>
      </c>
      <c r="L2" s="50" t="s">
        <v>798</v>
      </c>
    </row>
    <row r="3" spans="1:12">
      <c r="A3" s="50" t="s">
        <v>731</v>
      </c>
      <c r="B3" s="50" t="s">
        <v>139</v>
      </c>
      <c r="C3" s="50" t="s">
        <v>175</v>
      </c>
      <c r="D3" s="39" t="s">
        <v>67</v>
      </c>
      <c r="E3" s="40" t="s">
        <v>732</v>
      </c>
      <c r="F3" s="41" t="s">
        <v>99</v>
      </c>
      <c r="G3" s="42" t="s">
        <v>733</v>
      </c>
      <c r="H3" s="43" t="s">
        <v>445</v>
      </c>
      <c r="I3" s="43" t="s">
        <v>517</v>
      </c>
      <c r="J3" s="39" t="s">
        <v>210</v>
      </c>
      <c r="K3" s="50" t="s">
        <v>227</v>
      </c>
      <c r="L3" s="50" t="s">
        <v>798</v>
      </c>
    </row>
    <row r="4" spans="1:12" ht="31">
      <c r="A4" s="50" t="s">
        <v>731</v>
      </c>
      <c r="B4" s="50" t="s">
        <v>140</v>
      </c>
      <c r="C4" s="50" t="s">
        <v>175</v>
      </c>
      <c r="D4" s="39" t="s">
        <v>67</v>
      </c>
      <c r="E4" s="40" t="s">
        <v>732</v>
      </c>
      <c r="F4" s="41" t="s">
        <v>99</v>
      </c>
      <c r="G4" s="42" t="s">
        <v>733</v>
      </c>
      <c r="H4" s="43" t="s">
        <v>445</v>
      </c>
      <c r="I4" s="43" t="s">
        <v>517</v>
      </c>
      <c r="J4" s="39" t="s">
        <v>233</v>
      </c>
      <c r="K4" s="50" t="s">
        <v>226</v>
      </c>
      <c r="L4" s="50" t="s">
        <v>798</v>
      </c>
    </row>
    <row r="5" spans="1:12">
      <c r="A5" s="50" t="s">
        <v>731</v>
      </c>
      <c r="B5" s="50" t="s">
        <v>141</v>
      </c>
      <c r="C5" s="50" t="s">
        <v>175</v>
      </c>
      <c r="D5" s="39" t="s">
        <v>67</v>
      </c>
      <c r="E5" s="40" t="s">
        <v>732</v>
      </c>
      <c r="F5" s="41" t="s">
        <v>99</v>
      </c>
      <c r="G5" s="42" t="s">
        <v>733</v>
      </c>
      <c r="H5" s="43" t="s">
        <v>445</v>
      </c>
      <c r="I5" s="43" t="s">
        <v>517</v>
      </c>
      <c r="J5" s="39" t="s">
        <v>217</v>
      </c>
      <c r="K5" s="50" t="s">
        <v>226</v>
      </c>
      <c r="L5" s="50" t="s">
        <v>798</v>
      </c>
    </row>
    <row r="6" spans="1:12">
      <c r="A6" s="50" t="s">
        <v>731</v>
      </c>
      <c r="B6" s="50" t="s">
        <v>142</v>
      </c>
      <c r="C6" s="50" t="s">
        <v>175</v>
      </c>
      <c r="D6" s="39" t="s">
        <v>67</v>
      </c>
      <c r="E6" s="40" t="s">
        <v>732</v>
      </c>
      <c r="F6" s="41" t="s">
        <v>99</v>
      </c>
      <c r="G6" s="42" t="s">
        <v>733</v>
      </c>
      <c r="H6" s="43" t="s">
        <v>445</v>
      </c>
      <c r="I6" s="43" t="s">
        <v>517</v>
      </c>
      <c r="J6" s="39" t="s">
        <v>234</v>
      </c>
      <c r="K6" s="50" t="s">
        <v>226</v>
      </c>
      <c r="L6" s="50" t="s">
        <v>798</v>
      </c>
    </row>
    <row r="7" spans="1:12" ht="31">
      <c r="A7" s="50" t="s">
        <v>731</v>
      </c>
      <c r="B7" s="50" t="s">
        <v>143</v>
      </c>
      <c r="C7" s="50" t="s">
        <v>175</v>
      </c>
      <c r="D7" s="39" t="s">
        <v>67</v>
      </c>
      <c r="E7" s="40" t="s">
        <v>732</v>
      </c>
      <c r="F7" s="41" t="s">
        <v>99</v>
      </c>
      <c r="G7" s="42" t="s">
        <v>733</v>
      </c>
      <c r="H7" s="43" t="s">
        <v>445</v>
      </c>
      <c r="I7" s="43" t="s">
        <v>517</v>
      </c>
      <c r="J7" s="44" t="s">
        <v>212</v>
      </c>
      <c r="K7" s="50" t="s">
        <v>226</v>
      </c>
      <c r="L7" s="50" t="s">
        <v>798</v>
      </c>
    </row>
    <row r="8" spans="1:12">
      <c r="A8" s="50" t="s">
        <v>731</v>
      </c>
      <c r="B8" s="50" t="s">
        <v>144</v>
      </c>
      <c r="C8" s="50" t="s">
        <v>175</v>
      </c>
      <c r="D8" s="39" t="s">
        <v>67</v>
      </c>
      <c r="E8" s="40" t="s">
        <v>732</v>
      </c>
      <c r="F8" s="41" t="s">
        <v>99</v>
      </c>
      <c r="G8" s="42" t="s">
        <v>733</v>
      </c>
      <c r="H8" s="43" t="s">
        <v>445</v>
      </c>
      <c r="I8" s="43" t="s">
        <v>517</v>
      </c>
      <c r="J8" s="39" t="s">
        <v>234</v>
      </c>
      <c r="K8" s="50" t="s">
        <v>226</v>
      </c>
      <c r="L8" s="50" t="s">
        <v>798</v>
      </c>
    </row>
    <row r="9" spans="1:12">
      <c r="A9" s="50" t="s">
        <v>731</v>
      </c>
      <c r="B9" s="50" t="s">
        <v>145</v>
      </c>
      <c r="C9" s="50" t="s">
        <v>175</v>
      </c>
      <c r="D9" s="39" t="s">
        <v>67</v>
      </c>
      <c r="E9" s="40" t="s">
        <v>732</v>
      </c>
      <c r="F9" s="41" t="s">
        <v>99</v>
      </c>
      <c r="G9" s="42" t="s">
        <v>733</v>
      </c>
      <c r="H9" s="43" t="s">
        <v>445</v>
      </c>
      <c r="I9" s="43" t="s">
        <v>517</v>
      </c>
      <c r="J9" s="39" t="s">
        <v>235</v>
      </c>
      <c r="K9" s="50" t="s">
        <v>226</v>
      </c>
      <c r="L9" s="50" t="s">
        <v>798</v>
      </c>
    </row>
    <row r="10" spans="1:12" ht="46.5">
      <c r="A10" s="50" t="s">
        <v>731</v>
      </c>
      <c r="B10" s="50" t="s">
        <v>146</v>
      </c>
      <c r="C10" s="50" t="s">
        <v>175</v>
      </c>
      <c r="D10" s="39" t="s">
        <v>67</v>
      </c>
      <c r="E10" s="40" t="s">
        <v>732</v>
      </c>
      <c r="F10" s="41" t="s">
        <v>99</v>
      </c>
      <c r="G10" s="42" t="s">
        <v>733</v>
      </c>
      <c r="H10" s="43" t="s">
        <v>445</v>
      </c>
      <c r="I10" s="43" t="s">
        <v>517</v>
      </c>
      <c r="J10" s="39" t="s">
        <v>236</v>
      </c>
      <c r="K10" s="50" t="s">
        <v>227</v>
      </c>
      <c r="L10" s="50" t="s">
        <v>798</v>
      </c>
    </row>
    <row r="11" spans="1:12" ht="18.5">
      <c r="A11" s="50" t="s">
        <v>734</v>
      </c>
      <c r="B11" s="50" t="s">
        <v>61</v>
      </c>
      <c r="C11" s="50" t="s">
        <v>175</v>
      </c>
      <c r="D11" s="39" t="s">
        <v>735</v>
      </c>
      <c r="E11" s="40" t="s">
        <v>736</v>
      </c>
      <c r="F11" s="41" t="s">
        <v>99</v>
      </c>
      <c r="G11" s="42" t="s">
        <v>748</v>
      </c>
      <c r="H11" s="43" t="s">
        <v>512</v>
      </c>
      <c r="I11" s="43" t="s">
        <v>519</v>
      </c>
      <c r="J11" s="39" t="s">
        <v>211</v>
      </c>
      <c r="K11" s="50" t="s">
        <v>227</v>
      </c>
      <c r="L11" s="50" t="s">
        <v>798</v>
      </c>
    </row>
    <row r="12" spans="1:12" ht="18.5">
      <c r="A12" s="50" t="s">
        <v>734</v>
      </c>
      <c r="B12" s="50" t="s">
        <v>62</v>
      </c>
      <c r="C12" s="50" t="s">
        <v>175</v>
      </c>
      <c r="D12" s="39" t="s">
        <v>735</v>
      </c>
      <c r="E12" s="40" t="s">
        <v>736</v>
      </c>
      <c r="F12" s="41" t="s">
        <v>99</v>
      </c>
      <c r="G12" s="42" t="s">
        <v>748</v>
      </c>
      <c r="H12" s="43" t="s">
        <v>512</v>
      </c>
      <c r="I12" s="43" t="s">
        <v>519</v>
      </c>
      <c r="J12" s="39" t="s">
        <v>211</v>
      </c>
      <c r="K12" s="50" t="s">
        <v>227</v>
      </c>
      <c r="L12" s="50" t="s">
        <v>798</v>
      </c>
    </row>
    <row r="13" spans="1:12" ht="18.5">
      <c r="A13" s="50" t="s">
        <v>189</v>
      </c>
      <c r="B13" s="50" t="s">
        <v>200</v>
      </c>
      <c r="C13" s="50" t="s">
        <v>9</v>
      </c>
      <c r="D13" s="39" t="s">
        <v>756</v>
      </c>
      <c r="E13" s="40" t="s">
        <v>190</v>
      </c>
      <c r="F13" s="41" t="s">
        <v>749</v>
      </c>
      <c r="G13" s="40" t="s">
        <v>282</v>
      </c>
      <c r="H13" s="43" t="s">
        <v>11</v>
      </c>
      <c r="I13" s="43" t="s">
        <v>513</v>
      </c>
      <c r="J13" s="39" t="s">
        <v>231</v>
      </c>
      <c r="K13" s="50" t="s">
        <v>801</v>
      </c>
      <c r="L13" s="50" t="s">
        <v>785</v>
      </c>
    </row>
    <row r="14" spans="1:12" ht="31">
      <c r="A14" s="50" t="s">
        <v>704</v>
      </c>
      <c r="B14" s="50" t="s">
        <v>702</v>
      </c>
      <c r="C14" s="50" t="s">
        <v>9</v>
      </c>
      <c r="D14" s="39" t="s">
        <v>757</v>
      </c>
      <c r="E14" s="40" t="s">
        <v>705</v>
      </c>
      <c r="F14" s="41" t="s">
        <v>99</v>
      </c>
      <c r="G14" s="40" t="s">
        <v>706</v>
      </c>
      <c r="H14" s="45" t="s">
        <v>446</v>
      </c>
      <c r="I14" s="45" t="s">
        <v>439</v>
      </c>
      <c r="J14" s="39" t="s">
        <v>231</v>
      </c>
      <c r="K14" s="50" t="s">
        <v>226</v>
      </c>
      <c r="L14" s="51" t="s">
        <v>787</v>
      </c>
    </row>
    <row r="15" spans="1:12">
      <c r="A15" s="50" t="s">
        <v>108</v>
      </c>
      <c r="B15" s="50" t="s">
        <v>229</v>
      </c>
      <c r="C15" s="50" t="s">
        <v>8</v>
      </c>
      <c r="D15" s="39" t="s">
        <v>755</v>
      </c>
      <c r="E15" s="43">
        <v>93</v>
      </c>
      <c r="F15" s="43" t="s">
        <v>98</v>
      </c>
      <c r="G15" s="42" t="s">
        <v>283</v>
      </c>
      <c r="H15" s="43" t="s">
        <v>443</v>
      </c>
      <c r="I15" s="43" t="s">
        <v>517</v>
      </c>
      <c r="J15" s="39" t="s">
        <v>230</v>
      </c>
      <c r="K15" s="50" t="s">
        <v>227</v>
      </c>
      <c r="L15" s="50" t="s">
        <v>785</v>
      </c>
    </row>
    <row r="16" spans="1:12" ht="31">
      <c r="A16" s="39" t="s">
        <v>294</v>
      </c>
      <c r="B16" s="50" t="s">
        <v>293</v>
      </c>
      <c r="C16" s="50" t="s">
        <v>9</v>
      </c>
      <c r="D16" s="39" t="s">
        <v>758</v>
      </c>
      <c r="E16" s="42" t="s">
        <v>296</v>
      </c>
      <c r="F16" s="43" t="s">
        <v>99</v>
      </c>
      <c r="G16" s="42" t="s">
        <v>295</v>
      </c>
      <c r="H16" s="43" t="s">
        <v>443</v>
      </c>
      <c r="I16" s="43" t="s">
        <v>516</v>
      </c>
      <c r="J16" s="39" t="s">
        <v>212</v>
      </c>
      <c r="K16" s="50" t="s">
        <v>226</v>
      </c>
      <c r="L16" s="50" t="s">
        <v>788</v>
      </c>
    </row>
    <row r="17" spans="1:12" ht="31">
      <c r="A17" s="50" t="s">
        <v>111</v>
      </c>
      <c r="B17" s="50" t="s">
        <v>202</v>
      </c>
      <c r="C17" s="50" t="s">
        <v>92</v>
      </c>
      <c r="D17" s="39" t="s">
        <v>59</v>
      </c>
      <c r="E17" s="42" t="s">
        <v>112</v>
      </c>
      <c r="F17" s="43" t="s">
        <v>99</v>
      </c>
      <c r="G17" s="42" t="s">
        <v>284</v>
      </c>
      <c r="H17" s="43" t="s">
        <v>445</v>
      </c>
      <c r="I17" s="43" t="s">
        <v>519</v>
      </c>
      <c r="J17" s="39" t="s">
        <v>219</v>
      </c>
      <c r="K17" s="50" t="s">
        <v>226</v>
      </c>
      <c r="L17" s="50" t="s">
        <v>789</v>
      </c>
    </row>
    <row r="18" spans="1:12" ht="18.5">
      <c r="A18" s="50" t="s">
        <v>276</v>
      </c>
      <c r="B18" s="50" t="s">
        <v>287</v>
      </c>
      <c r="C18" s="50" t="s">
        <v>9</v>
      </c>
      <c r="D18" s="39" t="s">
        <v>759</v>
      </c>
      <c r="E18" s="42" t="s">
        <v>290</v>
      </c>
      <c r="F18" s="43" t="s">
        <v>750</v>
      </c>
      <c r="G18" s="42" t="s">
        <v>285</v>
      </c>
      <c r="H18" s="43" t="s">
        <v>11</v>
      </c>
      <c r="I18" s="43" t="s">
        <v>513</v>
      </c>
      <c r="J18" s="39" t="s">
        <v>211</v>
      </c>
      <c r="K18" s="50" t="s">
        <v>227</v>
      </c>
      <c r="L18" s="50" t="s">
        <v>785</v>
      </c>
    </row>
    <row r="19" spans="1:12">
      <c r="A19" s="50" t="s">
        <v>276</v>
      </c>
      <c r="B19" s="50" t="s">
        <v>286</v>
      </c>
      <c r="C19" s="50" t="s">
        <v>288</v>
      </c>
      <c r="D19" s="39" t="s">
        <v>759</v>
      </c>
      <c r="E19" s="42" t="s">
        <v>289</v>
      </c>
      <c r="F19" s="43" t="s">
        <v>277</v>
      </c>
      <c r="G19" s="42" t="s">
        <v>285</v>
      </c>
      <c r="H19" s="43" t="s">
        <v>11</v>
      </c>
      <c r="I19" s="43" t="s">
        <v>513</v>
      </c>
      <c r="J19" s="39" t="s">
        <v>211</v>
      </c>
      <c r="K19" s="50" t="s">
        <v>227</v>
      </c>
      <c r="L19" s="50" t="s">
        <v>785</v>
      </c>
    </row>
    <row r="20" spans="1:12" ht="31">
      <c r="A20" s="50" t="s">
        <v>737</v>
      </c>
      <c r="B20" s="50" t="s">
        <v>76</v>
      </c>
      <c r="C20" s="50" t="s">
        <v>175</v>
      </c>
      <c r="D20" s="39" t="s">
        <v>738</v>
      </c>
      <c r="E20" s="42" t="s">
        <v>739</v>
      </c>
      <c r="F20" s="43" t="s">
        <v>99</v>
      </c>
      <c r="G20" s="42" t="s">
        <v>740</v>
      </c>
      <c r="H20" s="43" t="s">
        <v>512</v>
      </c>
      <c r="I20" s="43" t="s">
        <v>519</v>
      </c>
      <c r="J20" s="39" t="s">
        <v>231</v>
      </c>
      <c r="K20" s="50" t="s">
        <v>226</v>
      </c>
      <c r="L20" s="52" t="s">
        <v>799</v>
      </c>
    </row>
    <row r="21" spans="1:12" ht="31">
      <c r="A21" s="50" t="s">
        <v>737</v>
      </c>
      <c r="B21" s="50" t="s">
        <v>73</v>
      </c>
      <c r="C21" s="50" t="s">
        <v>175</v>
      </c>
      <c r="D21" s="39" t="s">
        <v>738</v>
      </c>
      <c r="E21" s="42" t="s">
        <v>739</v>
      </c>
      <c r="F21" s="43" t="s">
        <v>99</v>
      </c>
      <c r="G21" s="42" t="s">
        <v>740</v>
      </c>
      <c r="H21" s="43" t="s">
        <v>512</v>
      </c>
      <c r="I21" s="43" t="s">
        <v>519</v>
      </c>
      <c r="J21" s="39" t="s">
        <v>231</v>
      </c>
      <c r="K21" s="50" t="s">
        <v>226</v>
      </c>
      <c r="L21" s="52" t="s">
        <v>799</v>
      </c>
    </row>
    <row r="22" spans="1:12" ht="31">
      <c r="A22" s="50" t="s">
        <v>737</v>
      </c>
      <c r="B22" s="50" t="s">
        <v>70</v>
      </c>
      <c r="C22" s="50" t="s">
        <v>175</v>
      </c>
      <c r="D22" s="39" t="s">
        <v>738</v>
      </c>
      <c r="E22" s="42" t="s">
        <v>739</v>
      </c>
      <c r="F22" s="43" t="s">
        <v>99</v>
      </c>
      <c r="G22" s="42" t="s">
        <v>740</v>
      </c>
      <c r="H22" s="43" t="s">
        <v>512</v>
      </c>
      <c r="I22" s="43" t="s">
        <v>519</v>
      </c>
      <c r="J22" s="39" t="s">
        <v>790</v>
      </c>
      <c r="K22" s="50" t="s">
        <v>226</v>
      </c>
      <c r="L22" s="52" t="s">
        <v>799</v>
      </c>
    </row>
    <row r="23" spans="1:12" ht="31">
      <c r="A23" s="50" t="s">
        <v>737</v>
      </c>
      <c r="B23" s="50" t="s">
        <v>71</v>
      </c>
      <c r="C23" s="50" t="s">
        <v>175</v>
      </c>
      <c r="D23" s="39" t="s">
        <v>738</v>
      </c>
      <c r="E23" s="42" t="s">
        <v>739</v>
      </c>
      <c r="F23" s="43" t="s">
        <v>99</v>
      </c>
      <c r="G23" s="42" t="s">
        <v>740</v>
      </c>
      <c r="H23" s="43" t="s">
        <v>512</v>
      </c>
      <c r="I23" s="43" t="s">
        <v>519</v>
      </c>
      <c r="J23" s="39" t="s">
        <v>217</v>
      </c>
      <c r="K23" s="50" t="s">
        <v>226</v>
      </c>
      <c r="L23" s="52" t="s">
        <v>799</v>
      </c>
    </row>
    <row r="24" spans="1:12" ht="31">
      <c r="A24" s="50" t="s">
        <v>94</v>
      </c>
      <c r="B24" s="50" t="s">
        <v>197</v>
      </c>
      <c r="C24" s="50" t="s">
        <v>92</v>
      </c>
      <c r="D24" s="39" t="s">
        <v>752</v>
      </c>
      <c r="E24" s="46" t="s">
        <v>103</v>
      </c>
      <c r="F24" s="43" t="s">
        <v>98</v>
      </c>
      <c r="G24" s="42" t="s">
        <v>450</v>
      </c>
      <c r="H24" s="43" t="s">
        <v>443</v>
      </c>
      <c r="I24" s="43" t="s">
        <v>516</v>
      </c>
      <c r="J24" s="39" t="s">
        <v>790</v>
      </c>
      <c r="K24" s="50" t="s">
        <v>226</v>
      </c>
      <c r="L24" s="50" t="s">
        <v>796</v>
      </c>
    </row>
    <row r="25" spans="1:12" ht="31">
      <c r="A25" s="50" t="s">
        <v>94</v>
      </c>
      <c r="B25" s="53" t="s">
        <v>199</v>
      </c>
      <c r="C25" s="50" t="s">
        <v>8</v>
      </c>
      <c r="D25" s="39" t="s">
        <v>752</v>
      </c>
      <c r="E25" s="46" t="s">
        <v>103</v>
      </c>
      <c r="F25" s="43" t="s">
        <v>98</v>
      </c>
      <c r="G25" s="42" t="s">
        <v>450</v>
      </c>
      <c r="H25" s="45" t="s">
        <v>446</v>
      </c>
      <c r="I25" s="45" t="s">
        <v>516</v>
      </c>
      <c r="J25" s="39" t="s">
        <v>790</v>
      </c>
      <c r="K25" s="53" t="s">
        <v>226</v>
      </c>
      <c r="L25" s="50" t="s">
        <v>796</v>
      </c>
    </row>
    <row r="26" spans="1:12" ht="31">
      <c r="A26" s="50" t="s">
        <v>94</v>
      </c>
      <c r="B26" s="50" t="s">
        <v>198</v>
      </c>
      <c r="C26" s="50" t="s">
        <v>8</v>
      </c>
      <c r="D26" s="39" t="s">
        <v>753</v>
      </c>
      <c r="E26" s="43" t="s">
        <v>102</v>
      </c>
      <c r="F26" s="43" t="s">
        <v>99</v>
      </c>
      <c r="G26" s="42" t="s">
        <v>451</v>
      </c>
      <c r="H26" s="43" t="s">
        <v>443</v>
      </c>
      <c r="I26" s="45" t="s">
        <v>516</v>
      </c>
      <c r="J26" s="39" t="s">
        <v>791</v>
      </c>
      <c r="K26" s="53" t="s">
        <v>226</v>
      </c>
      <c r="L26" s="50" t="s">
        <v>796</v>
      </c>
    </row>
    <row r="27" spans="1:12" ht="31">
      <c r="A27" s="50" t="s">
        <v>741</v>
      </c>
      <c r="B27" s="50" t="s">
        <v>30</v>
      </c>
      <c r="C27" s="50" t="s">
        <v>78</v>
      </c>
      <c r="D27" s="39" t="s">
        <v>742</v>
      </c>
      <c r="E27" s="42" t="s">
        <v>743</v>
      </c>
      <c r="F27" s="43" t="s">
        <v>99</v>
      </c>
      <c r="G27" s="42" t="s">
        <v>744</v>
      </c>
      <c r="H27" s="43" t="s">
        <v>512</v>
      </c>
      <c r="I27" s="45" t="s">
        <v>517</v>
      </c>
      <c r="J27" s="39" t="s">
        <v>791</v>
      </c>
      <c r="K27" s="50" t="s">
        <v>226</v>
      </c>
      <c r="L27" s="50" t="s">
        <v>797</v>
      </c>
    </row>
    <row r="28" spans="1:12" ht="31">
      <c r="A28" s="50" t="s">
        <v>741</v>
      </c>
      <c r="B28" s="50" t="s">
        <v>32</v>
      </c>
      <c r="C28" s="50" t="s">
        <v>78</v>
      </c>
      <c r="D28" s="39" t="s">
        <v>742</v>
      </c>
      <c r="E28" s="42" t="s">
        <v>743</v>
      </c>
      <c r="F28" s="43" t="s">
        <v>99</v>
      </c>
      <c r="G28" s="42" t="s">
        <v>744</v>
      </c>
      <c r="H28" s="43" t="s">
        <v>512</v>
      </c>
      <c r="I28" s="45" t="s">
        <v>517</v>
      </c>
      <c r="J28" s="39" t="s">
        <v>218</v>
      </c>
      <c r="K28" s="50" t="s">
        <v>226</v>
      </c>
      <c r="L28" s="50" t="s">
        <v>797</v>
      </c>
    </row>
    <row r="29" spans="1:12" ht="31">
      <c r="A29" s="50" t="s">
        <v>741</v>
      </c>
      <c r="B29" s="50" t="s">
        <v>31</v>
      </c>
      <c r="C29" s="50" t="s">
        <v>78</v>
      </c>
      <c r="D29" s="39" t="s">
        <v>742</v>
      </c>
      <c r="E29" s="42" t="s">
        <v>743</v>
      </c>
      <c r="F29" s="43" t="s">
        <v>99</v>
      </c>
      <c r="G29" s="42" t="s">
        <v>744</v>
      </c>
      <c r="H29" s="43" t="s">
        <v>512</v>
      </c>
      <c r="I29" s="45" t="s">
        <v>517</v>
      </c>
      <c r="J29" s="39" t="s">
        <v>218</v>
      </c>
      <c r="K29" s="50" t="s">
        <v>226</v>
      </c>
      <c r="L29" s="50" t="s">
        <v>797</v>
      </c>
    </row>
    <row r="30" spans="1:12" ht="31">
      <c r="A30" s="50" t="s">
        <v>741</v>
      </c>
      <c r="B30" s="50" t="s">
        <v>166</v>
      </c>
      <c r="C30" s="50" t="s">
        <v>78</v>
      </c>
      <c r="D30" s="39" t="s">
        <v>742</v>
      </c>
      <c r="E30" s="42" t="s">
        <v>743</v>
      </c>
      <c r="F30" s="43" t="s">
        <v>99</v>
      </c>
      <c r="G30" s="42" t="s">
        <v>744</v>
      </c>
      <c r="H30" s="43" t="s">
        <v>512</v>
      </c>
      <c r="I30" s="45" t="s">
        <v>517</v>
      </c>
      <c r="J30" s="39" t="s">
        <v>790</v>
      </c>
      <c r="K30" s="50" t="s">
        <v>226</v>
      </c>
      <c r="L30" s="50" t="s">
        <v>797</v>
      </c>
    </row>
    <row r="31" spans="1:12" ht="18.5">
      <c r="A31" s="50" t="s">
        <v>113</v>
      </c>
      <c r="B31" s="58" t="s">
        <v>221</v>
      </c>
      <c r="C31" s="50" t="s">
        <v>9</v>
      </c>
      <c r="D31" s="39" t="s">
        <v>754</v>
      </c>
      <c r="E31" s="42" t="s">
        <v>115</v>
      </c>
      <c r="F31" s="43" t="s">
        <v>751</v>
      </c>
      <c r="G31" s="42" t="s">
        <v>707</v>
      </c>
      <c r="H31" s="43" t="s">
        <v>11</v>
      </c>
      <c r="J31" s="39" t="s">
        <v>231</v>
      </c>
      <c r="K31" s="53" t="s">
        <v>802</v>
      </c>
      <c r="L31" s="55" t="s">
        <v>792</v>
      </c>
    </row>
    <row r="32" spans="1:12" ht="18.5">
      <c r="A32" s="50" t="s">
        <v>113</v>
      </c>
      <c r="B32" s="58" t="s">
        <v>222</v>
      </c>
      <c r="D32" s="39" t="s">
        <v>754</v>
      </c>
      <c r="E32" s="42" t="s">
        <v>115</v>
      </c>
      <c r="F32" s="43" t="s">
        <v>751</v>
      </c>
      <c r="G32" s="42" t="s">
        <v>707</v>
      </c>
      <c r="H32" s="43" t="s">
        <v>11</v>
      </c>
      <c r="I32" s="45" t="s">
        <v>513</v>
      </c>
      <c r="J32" s="39" t="s">
        <v>231</v>
      </c>
      <c r="K32" s="53" t="s">
        <v>802</v>
      </c>
      <c r="L32" s="55" t="s">
        <v>792</v>
      </c>
    </row>
    <row r="33" spans="1:12">
      <c r="A33" s="50" t="s">
        <v>185</v>
      </c>
      <c r="B33" s="58" t="s">
        <v>196</v>
      </c>
      <c r="C33" s="50" t="s">
        <v>9</v>
      </c>
      <c r="D33" s="39" t="s">
        <v>755</v>
      </c>
      <c r="E33" s="43" t="s">
        <v>186</v>
      </c>
      <c r="F33" s="43" t="s">
        <v>98</v>
      </c>
      <c r="G33" s="42" t="s">
        <v>279</v>
      </c>
      <c r="H33" s="43" t="s">
        <v>443</v>
      </c>
      <c r="I33" s="45" t="s">
        <v>517</v>
      </c>
      <c r="J33" s="39" t="s">
        <v>210</v>
      </c>
      <c r="K33" s="50" t="s">
        <v>227</v>
      </c>
      <c r="L33" s="50" t="s">
        <v>800</v>
      </c>
    </row>
    <row r="34" spans="1:12">
      <c r="A34" s="50" t="s">
        <v>100</v>
      </c>
      <c r="B34" s="58" t="s">
        <v>167</v>
      </c>
      <c r="C34" s="50" t="s">
        <v>8</v>
      </c>
      <c r="D34" s="39" t="s">
        <v>760</v>
      </c>
      <c r="E34" s="42" t="s">
        <v>105</v>
      </c>
      <c r="F34" s="43" t="s">
        <v>98</v>
      </c>
      <c r="G34" s="42" t="s">
        <v>281</v>
      </c>
      <c r="H34" s="43" t="s">
        <v>512</v>
      </c>
      <c r="I34" s="45" t="s">
        <v>517</v>
      </c>
      <c r="J34" s="39" t="s">
        <v>231</v>
      </c>
      <c r="K34" s="53" t="s">
        <v>226</v>
      </c>
      <c r="L34" s="50" t="s">
        <v>793</v>
      </c>
    </row>
    <row r="35" spans="1:12">
      <c r="A35" s="50" t="s">
        <v>100</v>
      </c>
      <c r="B35" s="58" t="s">
        <v>168</v>
      </c>
      <c r="C35" s="50" t="s">
        <v>78</v>
      </c>
      <c r="D35" s="39" t="s">
        <v>760</v>
      </c>
      <c r="E35" s="42" t="s">
        <v>105</v>
      </c>
      <c r="F35" s="43" t="s">
        <v>98</v>
      </c>
      <c r="G35" s="42" t="s">
        <v>281</v>
      </c>
      <c r="H35" s="43" t="s">
        <v>512</v>
      </c>
      <c r="I35" s="45" t="s">
        <v>517</v>
      </c>
      <c r="J35" s="44" t="s">
        <v>231</v>
      </c>
      <c r="K35" s="53" t="s">
        <v>226</v>
      </c>
      <c r="L35" s="50" t="s">
        <v>793</v>
      </c>
    </row>
    <row r="36" spans="1:12" ht="31">
      <c r="A36" s="50" t="s">
        <v>107</v>
      </c>
      <c r="B36" s="58" t="s">
        <v>164</v>
      </c>
      <c r="C36" s="50" t="s">
        <v>9</v>
      </c>
      <c r="D36" s="39" t="s">
        <v>761</v>
      </c>
      <c r="E36" s="42" t="s">
        <v>454</v>
      </c>
      <c r="F36" s="43" t="s">
        <v>277</v>
      </c>
      <c r="G36" s="42" t="s">
        <v>281</v>
      </c>
      <c r="H36" s="43" t="s">
        <v>444</v>
      </c>
      <c r="I36" s="45" t="s">
        <v>514</v>
      </c>
      <c r="J36" s="39" t="s">
        <v>210</v>
      </c>
      <c r="K36" s="50" t="s">
        <v>227</v>
      </c>
      <c r="L36" s="50" t="s">
        <v>793</v>
      </c>
    </row>
    <row r="37" spans="1:12">
      <c r="A37" s="50" t="s">
        <v>107</v>
      </c>
      <c r="B37" s="58" t="s">
        <v>179</v>
      </c>
      <c r="C37" s="50" t="s">
        <v>9</v>
      </c>
      <c r="D37" s="39" t="s">
        <v>763</v>
      </c>
      <c r="E37" s="42" t="s">
        <v>455</v>
      </c>
      <c r="F37" s="43" t="s">
        <v>277</v>
      </c>
      <c r="G37" s="42" t="s">
        <v>281</v>
      </c>
      <c r="H37" s="43" t="s">
        <v>11</v>
      </c>
      <c r="I37" s="45" t="s">
        <v>513</v>
      </c>
      <c r="J37" s="39" t="s">
        <v>211</v>
      </c>
      <c r="K37" s="50" t="s">
        <v>227</v>
      </c>
      <c r="L37" s="50" t="s">
        <v>793</v>
      </c>
    </row>
    <row r="38" spans="1:12" ht="31">
      <c r="A38" s="50" t="s">
        <v>107</v>
      </c>
      <c r="B38" s="58" t="s">
        <v>165</v>
      </c>
      <c r="C38" s="50" t="s">
        <v>9</v>
      </c>
      <c r="D38" s="39" t="s">
        <v>762</v>
      </c>
      <c r="E38" s="43" t="s">
        <v>456</v>
      </c>
      <c r="F38" s="43" t="s">
        <v>277</v>
      </c>
      <c r="G38" s="42" t="s">
        <v>281</v>
      </c>
      <c r="H38" s="43" t="s">
        <v>443</v>
      </c>
      <c r="I38" s="45" t="s">
        <v>516</v>
      </c>
      <c r="J38" s="39" t="s">
        <v>790</v>
      </c>
      <c r="K38" s="50" t="s">
        <v>226</v>
      </c>
      <c r="L38" s="50" t="s">
        <v>793</v>
      </c>
    </row>
    <row r="39" spans="1:12">
      <c r="A39" s="50" t="s">
        <v>107</v>
      </c>
      <c r="B39" s="58" t="s">
        <v>82</v>
      </c>
      <c r="C39" s="50" t="s">
        <v>9</v>
      </c>
      <c r="D39" s="39" t="s">
        <v>764</v>
      </c>
      <c r="E39" s="43" t="s">
        <v>456</v>
      </c>
      <c r="F39" s="43" t="s">
        <v>277</v>
      </c>
      <c r="G39" s="42" t="s">
        <v>281</v>
      </c>
      <c r="H39" s="43" t="s">
        <v>11</v>
      </c>
      <c r="I39" s="45" t="s">
        <v>439</v>
      </c>
      <c r="J39" s="39" t="s">
        <v>211</v>
      </c>
      <c r="K39" s="50" t="s">
        <v>227</v>
      </c>
      <c r="L39" s="50" t="s">
        <v>793</v>
      </c>
    </row>
    <row r="40" spans="1:12" ht="31">
      <c r="A40" s="50" t="s">
        <v>107</v>
      </c>
      <c r="B40" s="58" t="s">
        <v>184</v>
      </c>
      <c r="C40" s="50" t="s">
        <v>9</v>
      </c>
      <c r="D40" s="39" t="s">
        <v>758</v>
      </c>
      <c r="E40" s="43" t="s">
        <v>454</v>
      </c>
      <c r="F40" s="43" t="s">
        <v>277</v>
      </c>
      <c r="G40" s="42" t="s">
        <v>281</v>
      </c>
      <c r="H40" s="43" t="s">
        <v>443</v>
      </c>
      <c r="I40" s="43" t="s">
        <v>516</v>
      </c>
      <c r="J40" s="39" t="s">
        <v>790</v>
      </c>
      <c r="K40" s="50" t="s">
        <v>226</v>
      </c>
      <c r="L40" s="50" t="s">
        <v>793</v>
      </c>
    </row>
    <row r="41" spans="1:12" ht="31">
      <c r="A41" s="50" t="s">
        <v>107</v>
      </c>
      <c r="B41" s="58" t="s">
        <v>83</v>
      </c>
      <c r="C41" s="50" t="s">
        <v>9</v>
      </c>
      <c r="D41" s="39" t="s">
        <v>765</v>
      </c>
      <c r="E41" s="43" t="s">
        <v>457</v>
      </c>
      <c r="F41" s="43" t="s">
        <v>277</v>
      </c>
      <c r="G41" s="42" t="s">
        <v>281</v>
      </c>
      <c r="H41" s="45" t="s">
        <v>446</v>
      </c>
      <c r="I41" s="45" t="s">
        <v>439</v>
      </c>
      <c r="J41" s="39" t="s">
        <v>790</v>
      </c>
      <c r="K41" s="50" t="s">
        <v>226</v>
      </c>
      <c r="L41" s="50" t="s">
        <v>793</v>
      </c>
    </row>
    <row r="42" spans="1:12" ht="31">
      <c r="A42" s="50" t="s">
        <v>107</v>
      </c>
      <c r="B42" s="58" t="s">
        <v>84</v>
      </c>
      <c r="C42" s="50" t="s">
        <v>9</v>
      </c>
      <c r="D42" s="39" t="s">
        <v>766</v>
      </c>
      <c r="E42" s="43" t="s">
        <v>457</v>
      </c>
      <c r="F42" s="43" t="s">
        <v>277</v>
      </c>
      <c r="G42" s="42" t="s">
        <v>281</v>
      </c>
      <c r="H42" s="43" t="s">
        <v>11</v>
      </c>
      <c r="I42" s="45" t="s">
        <v>439</v>
      </c>
      <c r="J42" s="39" t="s">
        <v>213</v>
      </c>
      <c r="K42" s="50" t="s">
        <v>227</v>
      </c>
      <c r="L42" s="50" t="s">
        <v>793</v>
      </c>
    </row>
    <row r="43" spans="1:12">
      <c r="A43" s="50" t="s">
        <v>107</v>
      </c>
      <c r="B43" s="58" t="s">
        <v>177</v>
      </c>
      <c r="C43" s="50" t="s">
        <v>9</v>
      </c>
      <c r="D43" s="39" t="s">
        <v>767</v>
      </c>
      <c r="E43" s="43" t="s">
        <v>458</v>
      </c>
      <c r="F43" s="43" t="s">
        <v>277</v>
      </c>
      <c r="G43" s="42" t="s">
        <v>281</v>
      </c>
      <c r="H43" s="43" t="s">
        <v>444</v>
      </c>
      <c r="I43" s="43" t="s">
        <v>514</v>
      </c>
      <c r="J43" s="39" t="s">
        <v>210</v>
      </c>
      <c r="K43" s="50" t="s">
        <v>227</v>
      </c>
      <c r="L43" s="50" t="s">
        <v>793</v>
      </c>
    </row>
    <row r="44" spans="1:12" ht="31">
      <c r="A44" s="50" t="s">
        <v>107</v>
      </c>
      <c r="B44" s="58" t="s">
        <v>85</v>
      </c>
      <c r="C44" s="50" t="s">
        <v>9</v>
      </c>
      <c r="D44" s="39" t="s">
        <v>768</v>
      </c>
      <c r="E44" s="43" t="s">
        <v>454</v>
      </c>
      <c r="F44" s="43" t="s">
        <v>277</v>
      </c>
      <c r="G44" s="42" t="s">
        <v>281</v>
      </c>
      <c r="H44" s="45" t="s">
        <v>446</v>
      </c>
      <c r="I44" s="45" t="s">
        <v>439</v>
      </c>
      <c r="J44" s="39" t="s">
        <v>212</v>
      </c>
      <c r="K44" s="50" t="s">
        <v>226</v>
      </c>
      <c r="L44" s="50" t="s">
        <v>793</v>
      </c>
    </row>
    <row r="45" spans="1:12" ht="31">
      <c r="A45" s="50" t="s">
        <v>107</v>
      </c>
      <c r="B45" s="58" t="s">
        <v>176</v>
      </c>
      <c r="C45" s="50" t="s">
        <v>9</v>
      </c>
      <c r="D45" s="39" t="s">
        <v>769</v>
      </c>
      <c r="E45" s="43" t="s">
        <v>457</v>
      </c>
      <c r="F45" s="43" t="s">
        <v>277</v>
      </c>
      <c r="G45" s="42" t="s">
        <v>281</v>
      </c>
      <c r="H45" s="43" t="s">
        <v>11</v>
      </c>
      <c r="I45" s="45" t="s">
        <v>439</v>
      </c>
      <c r="J45" s="39" t="s">
        <v>213</v>
      </c>
      <c r="K45" s="50" t="s">
        <v>227</v>
      </c>
      <c r="L45" s="50" t="s">
        <v>793</v>
      </c>
    </row>
    <row r="46" spans="1:12">
      <c r="A46" s="50" t="s">
        <v>107</v>
      </c>
      <c r="B46" s="58" t="s">
        <v>180</v>
      </c>
      <c r="C46" s="50" t="s">
        <v>9</v>
      </c>
      <c r="D46" s="39" t="s">
        <v>770</v>
      </c>
      <c r="E46" s="43" t="s">
        <v>459</v>
      </c>
      <c r="F46" s="43" t="s">
        <v>277</v>
      </c>
      <c r="G46" s="42" t="s">
        <v>281</v>
      </c>
      <c r="H46" s="43" t="s">
        <v>444</v>
      </c>
      <c r="I46" s="43" t="s">
        <v>514</v>
      </c>
      <c r="J46" s="39" t="s">
        <v>210</v>
      </c>
      <c r="K46" s="50" t="s">
        <v>227</v>
      </c>
      <c r="L46" s="50" t="s">
        <v>793</v>
      </c>
    </row>
    <row r="47" spans="1:12" ht="31">
      <c r="A47" s="50" t="s">
        <v>107</v>
      </c>
      <c r="B47" s="59" t="s">
        <v>201</v>
      </c>
      <c r="C47" s="50" t="s">
        <v>9</v>
      </c>
      <c r="D47" s="39" t="s">
        <v>771</v>
      </c>
      <c r="E47" s="45" t="s">
        <v>456</v>
      </c>
      <c r="F47" s="43" t="s">
        <v>277</v>
      </c>
      <c r="G47" s="42" t="s">
        <v>281</v>
      </c>
      <c r="H47" s="45" t="s">
        <v>446</v>
      </c>
      <c r="I47" s="45" t="s">
        <v>439</v>
      </c>
      <c r="J47" s="39" t="s">
        <v>790</v>
      </c>
      <c r="K47" s="53" t="s">
        <v>226</v>
      </c>
      <c r="L47" s="50" t="s">
        <v>793</v>
      </c>
    </row>
    <row r="48" spans="1:12" ht="31">
      <c r="A48" s="50" t="s">
        <v>107</v>
      </c>
      <c r="B48" s="58" t="s">
        <v>181</v>
      </c>
      <c r="C48" s="50" t="s">
        <v>9</v>
      </c>
      <c r="D48" s="39" t="s">
        <v>772</v>
      </c>
      <c r="E48" s="43" t="s">
        <v>454</v>
      </c>
      <c r="F48" s="43" t="s">
        <v>277</v>
      </c>
      <c r="G48" s="42" t="s">
        <v>281</v>
      </c>
      <c r="H48" s="43" t="s">
        <v>445</v>
      </c>
      <c r="I48" s="45" t="s">
        <v>439</v>
      </c>
      <c r="J48" s="44" t="s">
        <v>214</v>
      </c>
      <c r="K48" s="53" t="s">
        <v>226</v>
      </c>
      <c r="L48" s="50" t="s">
        <v>793</v>
      </c>
    </row>
    <row r="49" spans="1:12">
      <c r="A49" s="50" t="s">
        <v>107</v>
      </c>
      <c r="B49" s="58" t="s">
        <v>183</v>
      </c>
      <c r="C49" s="50" t="s">
        <v>9</v>
      </c>
      <c r="D49" s="39" t="s">
        <v>773</v>
      </c>
      <c r="E49" s="43" t="s">
        <v>454</v>
      </c>
      <c r="F49" s="43" t="s">
        <v>277</v>
      </c>
      <c r="G49" s="42" t="s">
        <v>281</v>
      </c>
      <c r="H49" s="43" t="s">
        <v>445</v>
      </c>
      <c r="I49" s="45" t="s">
        <v>439</v>
      </c>
      <c r="J49" s="44" t="s">
        <v>214</v>
      </c>
      <c r="K49" s="53" t="s">
        <v>226</v>
      </c>
      <c r="L49" s="50" t="s">
        <v>793</v>
      </c>
    </row>
    <row r="50" spans="1:12">
      <c r="A50" s="50" t="s">
        <v>107</v>
      </c>
      <c r="B50" s="58" t="s">
        <v>178</v>
      </c>
      <c r="C50" s="50" t="s">
        <v>9</v>
      </c>
      <c r="D50" s="39" t="s">
        <v>774</v>
      </c>
      <c r="E50" s="43" t="s">
        <v>456</v>
      </c>
      <c r="F50" s="43" t="s">
        <v>277</v>
      </c>
      <c r="G50" s="42" t="s">
        <v>281</v>
      </c>
      <c r="H50" s="43" t="s">
        <v>512</v>
      </c>
      <c r="I50" s="45" t="s">
        <v>517</v>
      </c>
      <c r="J50" s="44" t="s">
        <v>215</v>
      </c>
      <c r="K50" s="53" t="s">
        <v>227</v>
      </c>
      <c r="L50" s="50" t="s">
        <v>793</v>
      </c>
    </row>
    <row r="51" spans="1:12" ht="31">
      <c r="A51" s="50" t="s">
        <v>107</v>
      </c>
      <c r="B51" s="58" t="s">
        <v>182</v>
      </c>
      <c r="C51" s="50" t="s">
        <v>9</v>
      </c>
      <c r="D51" s="39" t="s">
        <v>775</v>
      </c>
      <c r="E51" s="42" t="s">
        <v>457</v>
      </c>
      <c r="F51" s="43" t="s">
        <v>277</v>
      </c>
      <c r="G51" s="42" t="s">
        <v>281</v>
      </c>
      <c r="H51" s="43" t="s">
        <v>512</v>
      </c>
      <c r="I51" s="45" t="s">
        <v>517</v>
      </c>
      <c r="J51" s="39" t="s">
        <v>790</v>
      </c>
      <c r="K51" s="53" t="s">
        <v>226</v>
      </c>
      <c r="L51" s="50" t="s">
        <v>793</v>
      </c>
    </row>
    <row r="52" spans="1:12" ht="31">
      <c r="A52" s="50" t="s">
        <v>204</v>
      </c>
      <c r="B52" s="58" t="s">
        <v>205</v>
      </c>
      <c r="C52" s="50" t="s">
        <v>92</v>
      </c>
      <c r="D52" s="39" t="s">
        <v>776</v>
      </c>
      <c r="E52" s="42" t="s">
        <v>207</v>
      </c>
      <c r="F52" s="43" t="s">
        <v>109</v>
      </c>
      <c r="G52" s="42" t="s">
        <v>299</v>
      </c>
      <c r="H52" s="43" t="s">
        <v>11</v>
      </c>
      <c r="I52" s="45" t="s">
        <v>439</v>
      </c>
      <c r="J52" s="39" t="s">
        <v>216</v>
      </c>
      <c r="K52" s="53" t="s">
        <v>226</v>
      </c>
      <c r="L52" s="50" t="s">
        <v>785</v>
      </c>
    </row>
    <row r="53" spans="1:12">
      <c r="A53" s="50" t="s">
        <v>203</v>
      </c>
      <c r="B53" s="58" t="s">
        <v>225</v>
      </c>
      <c r="C53" s="50" t="s">
        <v>8</v>
      </c>
      <c r="D53" s="39" t="s">
        <v>776</v>
      </c>
      <c r="E53" s="42" t="s">
        <v>460</v>
      </c>
      <c r="F53" s="43" t="s">
        <v>109</v>
      </c>
      <c r="G53" s="42" t="s">
        <v>300</v>
      </c>
      <c r="H53" s="43" t="s">
        <v>11</v>
      </c>
      <c r="I53" s="45" t="s">
        <v>439</v>
      </c>
      <c r="J53" s="39" t="s">
        <v>210</v>
      </c>
      <c r="K53" s="53" t="s">
        <v>227</v>
      </c>
      <c r="L53" s="50" t="s">
        <v>785</v>
      </c>
    </row>
    <row r="54" spans="1:12" ht="18.5">
      <c r="A54" s="50" t="s">
        <v>110</v>
      </c>
      <c r="B54" s="59" t="s">
        <v>193</v>
      </c>
      <c r="C54" s="50" t="s">
        <v>9</v>
      </c>
      <c r="D54" s="39" t="s">
        <v>777</v>
      </c>
      <c r="E54" s="42" t="s">
        <v>106</v>
      </c>
      <c r="F54" s="43" t="s">
        <v>99</v>
      </c>
      <c r="G54" s="42" t="s">
        <v>452</v>
      </c>
      <c r="H54" s="43" t="s">
        <v>512</v>
      </c>
      <c r="I54" s="43" t="s">
        <v>516</v>
      </c>
      <c r="J54" s="44" t="s">
        <v>231</v>
      </c>
      <c r="K54" s="53" t="s">
        <v>802</v>
      </c>
      <c r="L54" s="50" t="s">
        <v>785</v>
      </c>
    </row>
    <row r="55" spans="1:12" ht="31">
      <c r="A55" s="39" t="s">
        <v>96</v>
      </c>
      <c r="B55" s="58" t="s">
        <v>195</v>
      </c>
      <c r="C55" s="50" t="s">
        <v>89</v>
      </c>
      <c r="D55" s="56" t="s">
        <v>778</v>
      </c>
      <c r="E55" s="42" t="s">
        <v>104</v>
      </c>
      <c r="F55" s="43" t="s">
        <v>99</v>
      </c>
      <c r="G55" s="42" t="s">
        <v>453</v>
      </c>
      <c r="H55" s="43" t="s">
        <v>445</v>
      </c>
      <c r="I55" s="43" t="s">
        <v>515</v>
      </c>
      <c r="J55" s="44" t="s">
        <v>439</v>
      </c>
      <c r="K55" s="53" t="s">
        <v>439</v>
      </c>
      <c r="L55" s="50" t="s">
        <v>794</v>
      </c>
    </row>
    <row r="56" spans="1:12" ht="31">
      <c r="A56" s="39" t="s">
        <v>96</v>
      </c>
      <c r="B56" s="58" t="s">
        <v>194</v>
      </c>
      <c r="C56" s="50" t="s">
        <v>9</v>
      </c>
      <c r="D56" s="56" t="s">
        <v>778</v>
      </c>
      <c r="E56" s="42" t="s">
        <v>104</v>
      </c>
      <c r="F56" s="43" t="s">
        <v>99</v>
      </c>
      <c r="G56" s="42" t="s">
        <v>453</v>
      </c>
      <c r="H56" s="43" t="s">
        <v>445</v>
      </c>
      <c r="I56" s="43" t="s">
        <v>515</v>
      </c>
      <c r="J56" s="44" t="s">
        <v>439</v>
      </c>
      <c r="K56" s="53" t="s">
        <v>802</v>
      </c>
      <c r="L56" s="50" t="s">
        <v>794</v>
      </c>
    </row>
    <row r="57" spans="1:12">
      <c r="A57" s="50" t="s">
        <v>278</v>
      </c>
      <c r="B57" s="58" t="s">
        <v>469</v>
      </c>
      <c r="C57" s="50" t="s">
        <v>9</v>
      </c>
      <c r="D57" s="56" t="s">
        <v>754</v>
      </c>
      <c r="E57" s="42" t="s">
        <v>461</v>
      </c>
      <c r="F57" s="43" t="s">
        <v>99</v>
      </c>
      <c r="G57" s="42" t="s">
        <v>280</v>
      </c>
      <c r="H57" s="43" t="s">
        <v>11</v>
      </c>
      <c r="I57" s="43" t="s">
        <v>439</v>
      </c>
      <c r="J57" s="44" t="s">
        <v>439</v>
      </c>
      <c r="K57" s="53" t="s">
        <v>226</v>
      </c>
      <c r="L57" s="50" t="s">
        <v>795</v>
      </c>
    </row>
    <row r="58" spans="1:12" ht="31">
      <c r="A58" s="50" t="s">
        <v>278</v>
      </c>
      <c r="B58" s="58" t="s">
        <v>470</v>
      </c>
      <c r="C58" s="50" t="s">
        <v>9</v>
      </c>
      <c r="D58" s="56" t="s">
        <v>779</v>
      </c>
      <c r="E58" s="42" t="s">
        <v>462</v>
      </c>
      <c r="F58" s="43" t="s">
        <v>99</v>
      </c>
      <c r="G58" s="42" t="s">
        <v>280</v>
      </c>
      <c r="H58" s="43" t="s">
        <v>512</v>
      </c>
      <c r="I58" s="43" t="s">
        <v>439</v>
      </c>
      <c r="J58" s="44" t="s">
        <v>439</v>
      </c>
      <c r="K58" s="53" t="s">
        <v>226</v>
      </c>
      <c r="L58" s="50" t="s">
        <v>795</v>
      </c>
    </row>
    <row r="59" spans="1:12" ht="31">
      <c r="A59" s="50" t="s">
        <v>278</v>
      </c>
      <c r="B59" s="58" t="s">
        <v>471</v>
      </c>
      <c r="C59" s="50" t="s">
        <v>9</v>
      </c>
      <c r="D59" s="56" t="s">
        <v>778</v>
      </c>
      <c r="E59" s="42" t="s">
        <v>463</v>
      </c>
      <c r="F59" s="43" t="s">
        <v>99</v>
      </c>
      <c r="G59" s="42" t="s">
        <v>280</v>
      </c>
      <c r="H59" s="43" t="s">
        <v>445</v>
      </c>
      <c r="I59" s="43" t="s">
        <v>515</v>
      </c>
      <c r="J59" s="44" t="s">
        <v>439</v>
      </c>
      <c r="K59" s="53" t="s">
        <v>802</v>
      </c>
      <c r="L59" s="50" t="s">
        <v>795</v>
      </c>
    </row>
    <row r="60" spans="1:12">
      <c r="A60" s="50" t="s">
        <v>278</v>
      </c>
      <c r="B60" s="58" t="s">
        <v>474</v>
      </c>
      <c r="C60" s="50" t="s">
        <v>9</v>
      </c>
      <c r="D60" s="56" t="s">
        <v>780</v>
      </c>
      <c r="E60" s="42" t="s">
        <v>464</v>
      </c>
      <c r="F60" s="43" t="s">
        <v>467</v>
      </c>
      <c r="G60" s="42" t="s">
        <v>280</v>
      </c>
      <c r="H60" s="43" t="s">
        <v>479</v>
      </c>
      <c r="I60" s="43" t="s">
        <v>513</v>
      </c>
      <c r="J60" s="44" t="s">
        <v>439</v>
      </c>
      <c r="K60" s="53" t="s">
        <v>227</v>
      </c>
      <c r="L60" s="50" t="s">
        <v>795</v>
      </c>
    </row>
    <row r="61" spans="1:12" ht="31">
      <c r="A61" s="50" t="s">
        <v>278</v>
      </c>
      <c r="B61" s="58" t="s">
        <v>472</v>
      </c>
      <c r="C61" s="50" t="s">
        <v>9</v>
      </c>
      <c r="D61" s="56" t="s">
        <v>449</v>
      </c>
      <c r="E61" s="42" t="s">
        <v>465</v>
      </c>
      <c r="F61" s="43" t="s">
        <v>467</v>
      </c>
      <c r="G61" s="42" t="s">
        <v>280</v>
      </c>
      <c r="H61" s="45" t="s">
        <v>446</v>
      </c>
      <c r="I61" s="45" t="s">
        <v>439</v>
      </c>
      <c r="J61" s="44" t="s">
        <v>439</v>
      </c>
      <c r="K61" s="53" t="s">
        <v>226</v>
      </c>
      <c r="L61" s="50" t="s">
        <v>795</v>
      </c>
    </row>
    <row r="62" spans="1:12">
      <c r="A62" s="50" t="s">
        <v>278</v>
      </c>
      <c r="B62" s="58" t="s">
        <v>473</v>
      </c>
      <c r="C62" s="50" t="s">
        <v>9</v>
      </c>
      <c r="D62" s="56" t="s">
        <v>770</v>
      </c>
      <c r="E62" s="42" t="s">
        <v>466</v>
      </c>
      <c r="F62" s="43" t="s">
        <v>99</v>
      </c>
      <c r="G62" s="42" t="s">
        <v>280</v>
      </c>
      <c r="H62" s="43" t="s">
        <v>444</v>
      </c>
      <c r="I62" s="43" t="s">
        <v>514</v>
      </c>
      <c r="J62" s="44" t="s">
        <v>439</v>
      </c>
      <c r="K62" s="60" t="s">
        <v>227</v>
      </c>
      <c r="L62" s="50" t="s">
        <v>795</v>
      </c>
    </row>
    <row r="63" spans="1:12" ht="31">
      <c r="A63" s="50" t="s">
        <v>187</v>
      </c>
      <c r="B63" s="58" t="s">
        <v>133</v>
      </c>
      <c r="C63" s="50" t="s">
        <v>8</v>
      </c>
      <c r="D63" s="39" t="s">
        <v>781</v>
      </c>
      <c r="E63" s="42" t="s">
        <v>192</v>
      </c>
      <c r="F63" s="43" t="s">
        <v>188</v>
      </c>
      <c r="G63" s="42" t="s">
        <v>279</v>
      </c>
      <c r="H63" s="43" t="s">
        <v>11</v>
      </c>
      <c r="I63" s="43" t="s">
        <v>513</v>
      </c>
      <c r="J63" s="39" t="s">
        <v>210</v>
      </c>
      <c r="K63" s="53" t="s">
        <v>227</v>
      </c>
      <c r="L63" s="50" t="s">
        <v>796</v>
      </c>
    </row>
    <row r="64" spans="1:12">
      <c r="B64" s="54"/>
      <c r="D64" s="57"/>
      <c r="E64" s="57"/>
      <c r="F64" s="57"/>
      <c r="G64" s="57"/>
      <c r="H64" s="57"/>
      <c r="I64" s="57"/>
    </row>
    <row r="65" spans="1:7">
      <c r="A65" s="57" t="s">
        <v>803</v>
      </c>
    </row>
    <row r="66" spans="1:7">
      <c r="A66" s="50" t="s">
        <v>747</v>
      </c>
    </row>
    <row r="67" spans="1:7" ht="34.5" customHeight="1">
      <c r="A67" s="61" t="s">
        <v>806</v>
      </c>
      <c r="B67" s="61"/>
      <c r="C67" s="61"/>
      <c r="D67" s="61"/>
      <c r="E67" s="61"/>
      <c r="F67" s="61"/>
      <c r="G67" s="61"/>
    </row>
    <row r="68" spans="1:7" ht="33.5" customHeight="1">
      <c r="A68" s="61" t="s">
        <v>804</v>
      </c>
      <c r="B68" s="61"/>
      <c r="C68" s="61"/>
      <c r="D68" s="61"/>
      <c r="E68" s="61"/>
      <c r="F68" s="61"/>
      <c r="G68" s="61"/>
    </row>
    <row r="69" spans="1:7" ht="40.5" customHeight="1">
      <c r="A69" s="61" t="s">
        <v>805</v>
      </c>
      <c r="B69" s="61"/>
      <c r="C69" s="61"/>
      <c r="D69" s="61"/>
      <c r="E69" s="61"/>
      <c r="F69" s="61"/>
      <c r="G69" s="61"/>
    </row>
  </sheetData>
  <sortState xmlns:xlrd2="http://schemas.microsoft.com/office/spreadsheetml/2017/richdata2" ref="A13:L57">
    <sortCondition ref="A15:A57"/>
  </sortState>
  <mergeCells count="3">
    <mergeCell ref="A67:G67"/>
    <mergeCell ref="A68:G68"/>
    <mergeCell ref="A69:G69"/>
  </mergeCells>
  <hyperlinks>
    <hyperlink ref="L14" r:id="rId1" display="https://doi.org/10.5281/zenodo.3588461" xr:uid="{EEA97E92-5725-4A17-A474-218BD558EC9E}"/>
  </hyperlinks>
  <pageMargins left="0.7" right="0.7" top="0.75" bottom="0.75" header="0.3" footer="0.3"/>
  <pageSetup orientation="portrait" r:id="rId2"/>
  <ignoredErrors>
    <ignoredError sqref="E18:E19 E31"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66"/>
  <sheetViews>
    <sheetView zoomScale="86" zoomScaleNormal="86" workbookViewId="0">
      <pane ySplit="1" topLeftCell="A47" activePane="bottomLeft" state="frozen"/>
      <selection activeCell="B1" sqref="B1"/>
      <selection pane="bottomLeft" activeCell="H57" sqref="H57:I62"/>
    </sheetView>
  </sheetViews>
  <sheetFormatPr defaultColWidth="8.81640625" defaultRowHeight="14.5"/>
  <cols>
    <col min="1" max="1" width="33.453125" customWidth="1"/>
    <col min="2" max="2" width="37" customWidth="1"/>
    <col min="3" max="3" width="17.1796875" customWidth="1"/>
    <col min="4" max="4" width="13.7265625" customWidth="1"/>
    <col min="5" max="5" width="30.26953125" customWidth="1"/>
    <col min="6" max="6" width="13.1796875" customWidth="1"/>
    <col min="7" max="7" width="20.08984375" customWidth="1"/>
    <col min="8" max="9" width="16.81640625" customWidth="1"/>
    <col min="10" max="10" width="7.81640625" customWidth="1"/>
    <col min="11" max="11" width="33.54296875" customWidth="1"/>
    <col min="12" max="12" width="23.7265625" bestFit="1" customWidth="1"/>
    <col min="13" max="13" width="17.1796875" customWidth="1"/>
    <col min="14" max="14" width="10.54296875" customWidth="1"/>
    <col min="15" max="15" width="7.453125" customWidth="1"/>
    <col min="16" max="16" width="6" customWidth="1"/>
    <col min="17" max="17" width="5.453125" customWidth="1"/>
    <col min="18" max="19" width="40.54296875" customWidth="1"/>
    <col min="20" max="20" width="9.81640625" customWidth="1"/>
    <col min="21" max="21" width="12.81640625" customWidth="1"/>
    <col min="22" max="22" width="6.453125" customWidth="1"/>
    <col min="23" max="23" width="5.81640625" customWidth="1"/>
    <col min="24" max="24" width="62.453125" customWidth="1"/>
    <col min="25" max="25" width="20.54296875" customWidth="1"/>
    <col min="26" max="26" width="34" customWidth="1"/>
    <col min="27" max="27" width="8.1796875" customWidth="1"/>
    <col min="28" max="30" width="11.81640625" bestFit="1" customWidth="1"/>
    <col min="31" max="32" width="9.81640625" bestFit="1" customWidth="1"/>
    <col min="33" max="33" width="10.453125" bestFit="1" customWidth="1"/>
    <col min="34" max="39" width="10.453125" customWidth="1"/>
  </cols>
  <sheetData>
    <row r="1" spans="1:39" s="2" customFormat="1" ht="43.5">
      <c r="A1" s="1" t="s">
        <v>0</v>
      </c>
      <c r="B1" s="1" t="s">
        <v>1</v>
      </c>
      <c r="C1" s="1" t="s">
        <v>6</v>
      </c>
      <c r="D1" s="1" t="s">
        <v>174</v>
      </c>
      <c r="E1" s="1" t="s">
        <v>209</v>
      </c>
      <c r="F1" s="1" t="s">
        <v>220</v>
      </c>
      <c r="G1" s="1" t="s">
        <v>10</v>
      </c>
      <c r="H1" s="1" t="s">
        <v>34</v>
      </c>
      <c r="I1" s="1" t="s">
        <v>35</v>
      </c>
      <c r="J1" s="1" t="s">
        <v>40</v>
      </c>
      <c r="K1" s="1" t="s">
        <v>41</v>
      </c>
      <c r="L1" s="1" t="s">
        <v>442</v>
      </c>
      <c r="M1" s="1" t="s">
        <v>518</v>
      </c>
      <c r="N1" s="1" t="s">
        <v>440</v>
      </c>
      <c r="O1" s="1" t="s">
        <v>441</v>
      </c>
      <c r="P1" s="1" t="s">
        <v>117</v>
      </c>
      <c r="Q1" s="1" t="s">
        <v>118</v>
      </c>
      <c r="R1" s="1" t="s">
        <v>349</v>
      </c>
      <c r="S1" s="1" t="s">
        <v>546</v>
      </c>
      <c r="T1" s="1" t="s">
        <v>169</v>
      </c>
      <c r="U1" s="1" t="s">
        <v>170</v>
      </c>
      <c r="V1" s="1" t="s">
        <v>119</v>
      </c>
      <c r="W1" s="1" t="s">
        <v>120</v>
      </c>
      <c r="X1" s="1" t="s">
        <v>171</v>
      </c>
      <c r="Y1" s="1" t="s">
        <v>544</v>
      </c>
      <c r="Z1" s="1" t="s">
        <v>350</v>
      </c>
      <c r="AA1" s="1" t="s">
        <v>351</v>
      </c>
      <c r="AB1" s="1" t="s">
        <v>355</v>
      </c>
      <c r="AC1" s="1" t="s">
        <v>352</v>
      </c>
      <c r="AD1" s="1" t="s">
        <v>356</v>
      </c>
      <c r="AE1" s="1" t="s">
        <v>353</v>
      </c>
      <c r="AF1" s="1" t="s">
        <v>357</v>
      </c>
      <c r="AG1" s="1" t="s">
        <v>358</v>
      </c>
      <c r="AH1" s="1" t="s">
        <v>604</v>
      </c>
      <c r="AI1" s="1" t="s">
        <v>605</v>
      </c>
      <c r="AJ1" s="1" t="s">
        <v>606</v>
      </c>
      <c r="AK1" s="1" t="s">
        <v>607</v>
      </c>
      <c r="AL1" s="1" t="s">
        <v>608</v>
      </c>
      <c r="AM1" s="1" t="s">
        <v>609</v>
      </c>
    </row>
    <row r="2" spans="1:39">
      <c r="A2" t="s">
        <v>64</v>
      </c>
      <c r="B2" t="s">
        <v>138</v>
      </c>
      <c r="C2" t="s">
        <v>53</v>
      </c>
      <c r="D2" t="s">
        <v>175</v>
      </c>
      <c r="E2" t="s">
        <v>217</v>
      </c>
      <c r="F2" t="s">
        <v>226</v>
      </c>
      <c r="G2" t="s">
        <v>67</v>
      </c>
      <c r="H2">
        <v>-33.667518000000001</v>
      </c>
      <c r="I2">
        <v>-70.599805000000003</v>
      </c>
      <c r="J2" t="s">
        <v>65</v>
      </c>
      <c r="K2" t="s">
        <v>66</v>
      </c>
      <c r="L2" t="s">
        <v>445</v>
      </c>
      <c r="M2" t="s">
        <v>517</v>
      </c>
      <c r="N2">
        <v>0</v>
      </c>
      <c r="O2">
        <v>30</v>
      </c>
      <c r="P2">
        <v>0</v>
      </c>
      <c r="Q2">
        <v>2</v>
      </c>
      <c r="R2" t="s">
        <v>148</v>
      </c>
      <c r="S2" t="s">
        <v>574</v>
      </c>
      <c r="T2">
        <v>58.9</v>
      </c>
      <c r="U2">
        <f>0.1*T2</f>
        <v>5.8900000000000006</v>
      </c>
      <c r="V2">
        <v>12</v>
      </c>
      <c r="W2">
        <v>1</v>
      </c>
      <c r="X2" t="s">
        <v>132</v>
      </c>
      <c r="Y2" t="s">
        <v>541</v>
      </c>
    </row>
    <row r="3" spans="1:39">
      <c r="A3" t="s">
        <v>64</v>
      </c>
      <c r="B3" t="s">
        <v>139</v>
      </c>
      <c r="C3" t="s">
        <v>53</v>
      </c>
      <c r="D3" t="s">
        <v>175</v>
      </c>
      <c r="E3" t="s">
        <v>210</v>
      </c>
      <c r="F3" t="s">
        <v>227</v>
      </c>
      <c r="G3" t="s">
        <v>67</v>
      </c>
      <c r="H3">
        <v>-33.667518000000001</v>
      </c>
      <c r="I3">
        <v>-70.599805000000003</v>
      </c>
      <c r="J3" t="s">
        <v>65</v>
      </c>
      <c r="K3" t="s">
        <v>66</v>
      </c>
      <c r="L3" t="s">
        <v>445</v>
      </c>
      <c r="M3" t="s">
        <v>517</v>
      </c>
      <c r="N3">
        <v>0</v>
      </c>
      <c r="O3">
        <v>30</v>
      </c>
      <c r="P3">
        <v>0</v>
      </c>
      <c r="Q3">
        <v>2</v>
      </c>
      <c r="R3" t="s">
        <v>147</v>
      </c>
      <c r="S3" t="s">
        <v>575</v>
      </c>
      <c r="T3">
        <v>18.399999999999999</v>
      </c>
      <c r="U3">
        <f>0.1*T3</f>
        <v>1.8399999999999999</v>
      </c>
      <c r="V3">
        <v>12</v>
      </c>
      <c r="W3">
        <v>1</v>
      </c>
      <c r="X3" t="s">
        <v>132</v>
      </c>
      <c r="Y3" t="s">
        <v>541</v>
      </c>
    </row>
    <row r="4" spans="1:39">
      <c r="A4" t="s">
        <v>64</v>
      </c>
      <c r="B4" t="s">
        <v>140</v>
      </c>
      <c r="C4" t="s">
        <v>53</v>
      </c>
      <c r="D4" t="s">
        <v>175</v>
      </c>
      <c r="E4" t="s">
        <v>233</v>
      </c>
      <c r="F4" t="s">
        <v>226</v>
      </c>
      <c r="G4" t="s">
        <v>67</v>
      </c>
      <c r="H4">
        <v>-33.667518000000001</v>
      </c>
      <c r="I4">
        <v>-70.599805000000003</v>
      </c>
      <c r="J4" t="s">
        <v>65</v>
      </c>
      <c r="K4" t="s">
        <v>66</v>
      </c>
      <c r="L4" t="s">
        <v>445</v>
      </c>
      <c r="M4" t="s">
        <v>517</v>
      </c>
      <c r="N4">
        <v>0</v>
      </c>
      <c r="O4">
        <v>30</v>
      </c>
      <c r="P4">
        <v>0</v>
      </c>
      <c r="Q4">
        <v>2</v>
      </c>
      <c r="R4" t="s">
        <v>147</v>
      </c>
      <c r="S4" t="s">
        <v>575</v>
      </c>
      <c r="T4">
        <v>18.399999999999999</v>
      </c>
      <c r="U4">
        <v>10</v>
      </c>
      <c r="V4">
        <v>12</v>
      </c>
      <c r="W4">
        <v>1</v>
      </c>
      <c r="X4" t="s">
        <v>132</v>
      </c>
      <c r="Y4" t="s">
        <v>541</v>
      </c>
    </row>
    <row r="5" spans="1:39">
      <c r="A5" t="s">
        <v>64</v>
      </c>
      <c r="B5" t="s">
        <v>141</v>
      </c>
      <c r="C5" t="s">
        <v>53</v>
      </c>
      <c r="D5" t="s">
        <v>175</v>
      </c>
      <c r="E5" t="s">
        <v>217</v>
      </c>
      <c r="F5" t="s">
        <v>226</v>
      </c>
      <c r="G5" t="s">
        <v>67</v>
      </c>
      <c r="H5">
        <v>-33.667518000000001</v>
      </c>
      <c r="I5">
        <v>-70.599805000000003</v>
      </c>
      <c r="J5" t="s">
        <v>65</v>
      </c>
      <c r="K5" t="s">
        <v>66</v>
      </c>
      <c r="L5" t="s">
        <v>445</v>
      </c>
      <c r="M5" t="s">
        <v>517</v>
      </c>
      <c r="N5">
        <v>0</v>
      </c>
      <c r="O5">
        <v>30</v>
      </c>
      <c r="P5">
        <v>0</v>
      </c>
      <c r="Q5">
        <v>2</v>
      </c>
      <c r="R5" t="s">
        <v>149</v>
      </c>
      <c r="S5" t="s">
        <v>603</v>
      </c>
      <c r="T5">
        <v>-5.0999999999999996</v>
      </c>
      <c r="U5">
        <f>0.1*T5*-1</f>
        <v>0.51</v>
      </c>
      <c r="V5">
        <v>12</v>
      </c>
      <c r="W5">
        <v>1</v>
      </c>
      <c r="X5" t="s">
        <v>132</v>
      </c>
      <c r="Y5" t="s">
        <v>541</v>
      </c>
    </row>
    <row r="6" spans="1:39">
      <c r="A6" t="s">
        <v>64</v>
      </c>
      <c r="B6" t="s">
        <v>142</v>
      </c>
      <c r="C6" t="s">
        <v>53</v>
      </c>
      <c r="D6" t="s">
        <v>175</v>
      </c>
      <c r="E6" t="s">
        <v>234</v>
      </c>
      <c r="F6" t="s">
        <v>226</v>
      </c>
      <c r="G6" t="s">
        <v>67</v>
      </c>
      <c r="H6">
        <v>-33.667518000000001</v>
      </c>
      <c r="I6">
        <v>-70.599805000000003</v>
      </c>
      <c r="J6" t="s">
        <v>65</v>
      </c>
      <c r="K6" t="s">
        <v>66</v>
      </c>
      <c r="L6" t="s">
        <v>445</v>
      </c>
      <c r="M6" t="s">
        <v>517</v>
      </c>
      <c r="N6">
        <v>0</v>
      </c>
      <c r="O6">
        <v>30</v>
      </c>
      <c r="P6">
        <v>0</v>
      </c>
      <c r="Q6">
        <v>2</v>
      </c>
      <c r="R6" t="s">
        <v>150</v>
      </c>
      <c r="S6" t="s">
        <v>602</v>
      </c>
      <c r="T6">
        <v>29.1</v>
      </c>
      <c r="U6">
        <f>0.1*T6</f>
        <v>2.91</v>
      </c>
      <c r="V6">
        <v>12</v>
      </c>
      <c r="W6">
        <v>1</v>
      </c>
      <c r="X6" t="s">
        <v>132</v>
      </c>
      <c r="Y6" t="s">
        <v>541</v>
      </c>
    </row>
    <row r="7" spans="1:39">
      <c r="A7" t="s">
        <v>64</v>
      </c>
      <c r="B7" t="s">
        <v>143</v>
      </c>
      <c r="C7" t="s">
        <v>53</v>
      </c>
      <c r="D7" t="s">
        <v>175</v>
      </c>
      <c r="E7" s="9" t="s">
        <v>212</v>
      </c>
      <c r="F7" t="s">
        <v>226</v>
      </c>
      <c r="G7" t="s">
        <v>67</v>
      </c>
      <c r="H7">
        <v>-33.667518000000001</v>
      </c>
      <c r="I7">
        <v>-70.599805000000003</v>
      </c>
      <c r="J7" t="s">
        <v>65</v>
      </c>
      <c r="K7" t="s">
        <v>66</v>
      </c>
      <c r="L7" t="s">
        <v>445</v>
      </c>
      <c r="M7" t="s">
        <v>517</v>
      </c>
      <c r="N7">
        <v>0</v>
      </c>
      <c r="O7">
        <v>30</v>
      </c>
      <c r="P7">
        <v>0</v>
      </c>
      <c r="Q7">
        <v>2</v>
      </c>
      <c r="R7" t="s">
        <v>151</v>
      </c>
      <c r="S7" t="s">
        <v>601</v>
      </c>
      <c r="T7">
        <v>19</v>
      </c>
      <c r="U7">
        <f>0.1*T7</f>
        <v>1.9000000000000001</v>
      </c>
      <c r="V7">
        <v>12</v>
      </c>
      <c r="W7">
        <v>1</v>
      </c>
      <c r="X7" t="s">
        <v>132</v>
      </c>
      <c r="Y7" t="s">
        <v>541</v>
      </c>
    </row>
    <row r="8" spans="1:39">
      <c r="A8" t="s">
        <v>64</v>
      </c>
      <c r="B8" t="s">
        <v>144</v>
      </c>
      <c r="C8" t="s">
        <v>53</v>
      </c>
      <c r="D8" t="s">
        <v>175</v>
      </c>
      <c r="E8" t="s">
        <v>234</v>
      </c>
      <c r="F8" t="s">
        <v>226</v>
      </c>
      <c r="G8" t="s">
        <v>67</v>
      </c>
      <c r="H8">
        <v>-33.667518000000001</v>
      </c>
      <c r="I8">
        <v>-70.599805000000003</v>
      </c>
      <c r="J8" t="s">
        <v>65</v>
      </c>
      <c r="K8" t="s">
        <v>66</v>
      </c>
      <c r="L8" t="s">
        <v>445</v>
      </c>
      <c r="M8" t="s">
        <v>517</v>
      </c>
      <c r="N8">
        <v>0</v>
      </c>
      <c r="O8">
        <v>30</v>
      </c>
      <c r="P8">
        <v>0</v>
      </c>
      <c r="Q8">
        <v>2</v>
      </c>
      <c r="R8" t="s">
        <v>154</v>
      </c>
      <c r="S8" t="s">
        <v>600</v>
      </c>
      <c r="T8">
        <v>0</v>
      </c>
      <c r="U8">
        <v>10</v>
      </c>
      <c r="V8">
        <v>12</v>
      </c>
      <c r="W8">
        <v>1</v>
      </c>
      <c r="X8" t="s">
        <v>132</v>
      </c>
      <c r="Y8" t="s">
        <v>541</v>
      </c>
    </row>
    <row r="9" spans="1:39">
      <c r="A9" t="s">
        <v>64</v>
      </c>
      <c r="B9" t="s">
        <v>145</v>
      </c>
      <c r="C9" t="s">
        <v>53</v>
      </c>
      <c r="D9" t="s">
        <v>175</v>
      </c>
      <c r="E9" s="10" t="s">
        <v>235</v>
      </c>
      <c r="F9" t="s">
        <v>226</v>
      </c>
      <c r="G9" t="s">
        <v>67</v>
      </c>
      <c r="H9">
        <v>-33.667518000000001</v>
      </c>
      <c r="I9">
        <v>-70.599805000000003</v>
      </c>
      <c r="J9" t="s">
        <v>65</v>
      </c>
      <c r="K9" t="s">
        <v>66</v>
      </c>
      <c r="L9" t="s">
        <v>445</v>
      </c>
      <c r="M9" t="s">
        <v>517</v>
      </c>
      <c r="N9">
        <v>0</v>
      </c>
      <c r="O9">
        <v>30</v>
      </c>
      <c r="P9">
        <v>0</v>
      </c>
      <c r="Q9">
        <v>2</v>
      </c>
      <c r="R9" t="s">
        <v>152</v>
      </c>
      <c r="S9" t="s">
        <v>599</v>
      </c>
      <c r="T9">
        <v>13.3</v>
      </c>
      <c r="U9">
        <f>0.1*T9</f>
        <v>1.33</v>
      </c>
      <c r="V9">
        <v>12</v>
      </c>
      <c r="W9">
        <v>1</v>
      </c>
      <c r="X9" t="s">
        <v>132</v>
      </c>
      <c r="Y9" t="s">
        <v>541</v>
      </c>
    </row>
    <row r="10" spans="1:39">
      <c r="A10" t="s">
        <v>64</v>
      </c>
      <c r="B10" t="s">
        <v>146</v>
      </c>
      <c r="C10" t="s">
        <v>53</v>
      </c>
      <c r="D10" t="s">
        <v>175</v>
      </c>
      <c r="E10" t="s">
        <v>236</v>
      </c>
      <c r="F10" t="s">
        <v>227</v>
      </c>
      <c r="G10" t="s">
        <v>67</v>
      </c>
      <c r="H10">
        <v>-33.667518000000001</v>
      </c>
      <c r="I10">
        <v>-70.599805000000003</v>
      </c>
      <c r="J10" t="s">
        <v>65</v>
      </c>
      <c r="K10" t="s">
        <v>66</v>
      </c>
      <c r="L10" t="s">
        <v>445</v>
      </c>
      <c r="M10" t="s">
        <v>517</v>
      </c>
      <c r="N10">
        <v>0</v>
      </c>
      <c r="O10">
        <v>30</v>
      </c>
      <c r="P10">
        <v>0</v>
      </c>
      <c r="Q10">
        <v>2</v>
      </c>
      <c r="R10" t="s">
        <v>153</v>
      </c>
      <c r="S10" t="s">
        <v>598</v>
      </c>
      <c r="T10">
        <v>34.799999999999997</v>
      </c>
      <c r="U10">
        <f>0.1*T10</f>
        <v>3.48</v>
      </c>
      <c r="V10">
        <v>12</v>
      </c>
      <c r="W10">
        <v>1</v>
      </c>
      <c r="X10" t="s">
        <v>132</v>
      </c>
      <c r="Y10" t="s">
        <v>541</v>
      </c>
    </row>
    <row r="11" spans="1:39">
      <c r="A11" t="s">
        <v>60</v>
      </c>
      <c r="B11" t="s">
        <v>61</v>
      </c>
      <c r="C11" t="s">
        <v>53</v>
      </c>
      <c r="D11" t="s">
        <v>8</v>
      </c>
      <c r="E11" t="s">
        <v>211</v>
      </c>
      <c r="F11" t="s">
        <v>227</v>
      </c>
      <c r="G11" t="s">
        <v>63</v>
      </c>
      <c r="H11">
        <v>39.231389</v>
      </c>
      <c r="I11">
        <v>-96.580832999999998</v>
      </c>
      <c r="J11" t="s">
        <v>46</v>
      </c>
      <c r="K11" t="s">
        <v>447</v>
      </c>
      <c r="L11" t="s">
        <v>512</v>
      </c>
      <c r="M11" t="s">
        <v>519</v>
      </c>
      <c r="N11">
        <v>0</v>
      </c>
      <c r="O11">
        <v>30</v>
      </c>
      <c r="P11">
        <v>0</v>
      </c>
      <c r="Q11">
        <v>3</v>
      </c>
      <c r="R11" t="s">
        <v>237</v>
      </c>
      <c r="S11" t="s">
        <v>589</v>
      </c>
      <c r="T11">
        <v>327</v>
      </c>
      <c r="U11">
        <v>52</v>
      </c>
      <c r="V11">
        <v>8</v>
      </c>
      <c r="W11">
        <v>1</v>
      </c>
      <c r="X11" s="8" t="s">
        <v>543</v>
      </c>
      <c r="Y11" t="s">
        <v>541</v>
      </c>
    </row>
    <row r="12" spans="1:39">
      <c r="A12" t="s">
        <v>60</v>
      </c>
      <c r="B12" t="s">
        <v>62</v>
      </c>
      <c r="C12" t="s">
        <v>53</v>
      </c>
      <c r="D12" t="s">
        <v>8</v>
      </c>
      <c r="E12" t="s">
        <v>211</v>
      </c>
      <c r="F12" t="s">
        <v>227</v>
      </c>
      <c r="G12" t="s">
        <v>63</v>
      </c>
      <c r="H12">
        <v>39.231389</v>
      </c>
      <c r="I12">
        <v>-96.580832999999998</v>
      </c>
      <c r="J12" t="s">
        <v>46</v>
      </c>
      <c r="K12" t="s">
        <v>447</v>
      </c>
      <c r="L12" t="s">
        <v>512</v>
      </c>
      <c r="M12" t="s">
        <v>519</v>
      </c>
      <c r="N12">
        <v>0</v>
      </c>
      <c r="O12">
        <v>30</v>
      </c>
      <c r="P12">
        <v>0</v>
      </c>
      <c r="Q12">
        <v>3</v>
      </c>
      <c r="R12" t="s">
        <v>238</v>
      </c>
      <c r="S12" t="s">
        <v>597</v>
      </c>
      <c r="T12">
        <v>275</v>
      </c>
      <c r="U12">
        <v>69</v>
      </c>
      <c r="V12">
        <v>8</v>
      </c>
      <c r="W12">
        <v>1</v>
      </c>
      <c r="X12" s="8" t="s">
        <v>543</v>
      </c>
      <c r="Y12" t="s">
        <v>541</v>
      </c>
    </row>
    <row r="13" spans="1:39">
      <c r="A13" t="s">
        <v>88</v>
      </c>
      <c r="B13" t="s">
        <v>200</v>
      </c>
      <c r="C13" t="s">
        <v>7</v>
      </c>
      <c r="D13" t="s">
        <v>9</v>
      </c>
      <c r="E13" t="s">
        <v>231</v>
      </c>
      <c r="F13" t="s">
        <v>439</v>
      </c>
      <c r="G13" t="s">
        <v>137</v>
      </c>
      <c r="H13">
        <v>37.154763835251103</v>
      </c>
      <c r="I13">
        <v>-80.376524323913301</v>
      </c>
      <c r="J13" t="s">
        <v>47</v>
      </c>
      <c r="K13" t="s">
        <v>11</v>
      </c>
      <c r="L13" t="s">
        <v>11</v>
      </c>
      <c r="M13" t="s">
        <v>513</v>
      </c>
      <c r="N13">
        <v>0</v>
      </c>
      <c r="O13">
        <v>30</v>
      </c>
      <c r="P13">
        <v>5</v>
      </c>
      <c r="Q13">
        <v>52</v>
      </c>
      <c r="R13" t="s">
        <v>273</v>
      </c>
      <c r="S13" t="s">
        <v>548</v>
      </c>
      <c r="T13" s="8">
        <v>-324.60000000000002</v>
      </c>
      <c r="U13" s="8">
        <v>98.1</v>
      </c>
      <c r="V13">
        <v>29</v>
      </c>
      <c r="W13" s="8">
        <v>0.3</v>
      </c>
      <c r="X13" s="8" t="s">
        <v>275</v>
      </c>
      <c r="Y13" s="8" t="s">
        <v>539</v>
      </c>
      <c r="AA13" s="8"/>
      <c r="AB13" s="8"/>
      <c r="AC13" s="8"/>
      <c r="AD13" s="8"/>
      <c r="AE13" s="8"/>
      <c r="AF13" s="8"/>
      <c r="AG13" s="8"/>
      <c r="AH13" s="8"/>
      <c r="AI13" s="8"/>
      <c r="AJ13" s="8"/>
      <c r="AK13" s="8"/>
      <c r="AL13" s="8"/>
      <c r="AM13" s="8"/>
    </row>
    <row r="14" spans="1:39">
      <c r="A14" t="s">
        <v>86</v>
      </c>
      <c r="B14" t="s">
        <v>702</v>
      </c>
      <c r="C14" t="s">
        <v>7</v>
      </c>
      <c r="D14" t="s">
        <v>9</v>
      </c>
      <c r="E14" t="s">
        <v>439</v>
      </c>
      <c r="F14" t="s">
        <v>226</v>
      </c>
      <c r="G14" t="s">
        <v>87</v>
      </c>
      <c r="H14">
        <v>42.993296372463803</v>
      </c>
      <c r="I14">
        <v>-71.444761375295101</v>
      </c>
      <c r="J14" t="s">
        <v>45</v>
      </c>
      <c r="K14" s="9" t="s">
        <v>448</v>
      </c>
      <c r="L14" s="9" t="s">
        <v>446</v>
      </c>
      <c r="M14" s="9" t="s">
        <v>439</v>
      </c>
      <c r="N14">
        <v>0</v>
      </c>
      <c r="O14">
        <v>30</v>
      </c>
      <c r="P14">
        <v>8</v>
      </c>
      <c r="Q14">
        <v>149</v>
      </c>
      <c r="R14" t="s">
        <v>708</v>
      </c>
      <c r="S14" t="s">
        <v>709</v>
      </c>
      <c r="T14" s="8">
        <v>32.6</v>
      </c>
      <c r="U14" s="8">
        <v>11.74</v>
      </c>
      <c r="V14" s="8">
        <v>31</v>
      </c>
      <c r="W14" s="8">
        <v>0.21</v>
      </c>
      <c r="X14" s="8" t="s">
        <v>703</v>
      </c>
      <c r="Y14" s="8" t="s">
        <v>99</v>
      </c>
      <c r="AA14" s="8"/>
      <c r="AB14" s="8"/>
      <c r="AC14" s="8"/>
      <c r="AD14" s="8"/>
      <c r="AE14" s="8"/>
      <c r="AF14" s="8"/>
      <c r="AG14" s="8"/>
      <c r="AH14" s="8"/>
      <c r="AI14" s="8"/>
      <c r="AJ14" s="8"/>
      <c r="AK14" s="8"/>
      <c r="AL14" s="8"/>
      <c r="AM14" s="8"/>
    </row>
    <row r="15" spans="1:39">
      <c r="A15" t="s">
        <v>228</v>
      </c>
      <c r="B15" t="s">
        <v>229</v>
      </c>
      <c r="C15" t="s">
        <v>7</v>
      </c>
      <c r="D15" t="s">
        <v>8</v>
      </c>
      <c r="E15" t="s">
        <v>230</v>
      </c>
      <c r="F15" t="s">
        <v>227</v>
      </c>
      <c r="G15" t="s">
        <v>55</v>
      </c>
      <c r="H15">
        <v>33.586230800000003</v>
      </c>
      <c r="I15">
        <v>-101.90239</v>
      </c>
      <c r="J15" t="s">
        <v>44</v>
      </c>
      <c r="K15" t="s">
        <v>27</v>
      </c>
      <c r="L15" t="s">
        <v>443</v>
      </c>
      <c r="M15" t="s">
        <v>517</v>
      </c>
      <c r="N15">
        <v>0</v>
      </c>
      <c r="O15">
        <v>15</v>
      </c>
      <c r="P15">
        <v>13</v>
      </c>
      <c r="Q15">
        <v>93</v>
      </c>
      <c r="R15" t="s">
        <v>497</v>
      </c>
      <c r="S15" t="s">
        <v>547</v>
      </c>
      <c r="T15">
        <v>93</v>
      </c>
      <c r="U15">
        <v>22.2</v>
      </c>
      <c r="V15">
        <v>89</v>
      </c>
      <c r="W15">
        <v>0.17</v>
      </c>
      <c r="X15" s="8" t="s">
        <v>543</v>
      </c>
      <c r="Y15" s="8" t="s">
        <v>545</v>
      </c>
      <c r="Z15" s="8" t="s">
        <v>498</v>
      </c>
      <c r="AA15" s="19">
        <v>5099.8050000000003</v>
      </c>
      <c r="AB15" s="19">
        <v>168.87119999999999</v>
      </c>
      <c r="AC15" s="19">
        <v>101422.1</v>
      </c>
      <c r="AD15" s="19">
        <v>402066.1</v>
      </c>
      <c r="AE15" s="15">
        <v>0.3336942</v>
      </c>
      <c r="AF15" s="19">
        <v>0.30671700000000002</v>
      </c>
      <c r="AG15" s="8">
        <v>1</v>
      </c>
      <c r="AH15" s="8">
        <v>1203.001</v>
      </c>
      <c r="AI15" s="8">
        <v>2196.37</v>
      </c>
      <c r="AJ15" s="8">
        <v>1.52</v>
      </c>
      <c r="AK15" s="8">
        <v>6.5869999999999997</v>
      </c>
      <c r="AL15" s="8">
        <v>2E-3</v>
      </c>
      <c r="AM15" s="8">
        <v>0.02</v>
      </c>
    </row>
    <row r="16" spans="1:39">
      <c r="A16" t="s">
        <v>521</v>
      </c>
      <c r="B16" t="s">
        <v>293</v>
      </c>
      <c r="C16" t="s">
        <v>7</v>
      </c>
      <c r="D16" t="s">
        <v>9</v>
      </c>
      <c r="E16" t="s">
        <v>212</v>
      </c>
      <c r="F16" t="s">
        <v>226</v>
      </c>
      <c r="G16" t="s">
        <v>12</v>
      </c>
      <c r="H16">
        <v>40</v>
      </c>
      <c r="I16">
        <v>-105</v>
      </c>
      <c r="J16" t="s">
        <v>44</v>
      </c>
      <c r="K16" t="s">
        <v>27</v>
      </c>
      <c r="L16" t="s">
        <v>443</v>
      </c>
      <c r="M16" t="s">
        <v>516</v>
      </c>
      <c r="N16">
        <v>0</v>
      </c>
      <c r="O16">
        <v>100</v>
      </c>
      <c r="P16">
        <v>0</v>
      </c>
      <c r="Q16">
        <v>45</v>
      </c>
      <c r="R16" t="s">
        <v>298</v>
      </c>
      <c r="S16" t="s">
        <v>596</v>
      </c>
      <c r="T16">
        <v>183</v>
      </c>
      <c r="U16">
        <v>27</v>
      </c>
      <c r="V16">
        <v>5</v>
      </c>
      <c r="W16">
        <v>0.93</v>
      </c>
      <c r="X16" t="s">
        <v>297</v>
      </c>
      <c r="Y16" t="s">
        <v>99</v>
      </c>
    </row>
    <row r="17" spans="1:39">
      <c r="A17" t="s">
        <v>58</v>
      </c>
      <c r="B17" t="s">
        <v>202</v>
      </c>
      <c r="C17" t="s">
        <v>7</v>
      </c>
      <c r="D17" t="s">
        <v>92</v>
      </c>
      <c r="E17" t="s">
        <v>219</v>
      </c>
      <c r="F17" t="s">
        <v>226</v>
      </c>
      <c r="G17" t="s">
        <v>59</v>
      </c>
      <c r="H17">
        <v>-40.370499000000002</v>
      </c>
      <c r="I17">
        <v>175.634308</v>
      </c>
      <c r="J17" t="s">
        <v>42</v>
      </c>
      <c r="K17" t="s">
        <v>80</v>
      </c>
      <c r="L17" t="s">
        <v>445</v>
      </c>
      <c r="M17" t="s">
        <v>519</v>
      </c>
      <c r="N17">
        <v>0</v>
      </c>
      <c r="O17">
        <v>25</v>
      </c>
      <c r="P17">
        <v>5</v>
      </c>
      <c r="Q17">
        <v>40</v>
      </c>
      <c r="R17" t="s">
        <v>122</v>
      </c>
      <c r="S17" t="s">
        <v>268</v>
      </c>
      <c r="T17">
        <v>69</v>
      </c>
      <c r="U17">
        <v>8</v>
      </c>
      <c r="V17">
        <v>5</v>
      </c>
      <c r="W17">
        <v>0.98</v>
      </c>
      <c r="X17" t="s">
        <v>172</v>
      </c>
      <c r="Y17" t="s">
        <v>99</v>
      </c>
    </row>
    <row r="18" spans="1:39">
      <c r="A18" t="s">
        <v>130</v>
      </c>
      <c r="B18" t="s">
        <v>287</v>
      </c>
      <c r="C18" t="s">
        <v>7</v>
      </c>
      <c r="D18" t="s">
        <v>9</v>
      </c>
      <c r="E18" t="s">
        <v>211</v>
      </c>
      <c r="F18" t="s">
        <v>227</v>
      </c>
      <c r="G18" t="s">
        <v>68</v>
      </c>
      <c r="H18">
        <v>32.6</v>
      </c>
      <c r="I18">
        <v>-85.5</v>
      </c>
      <c r="J18" t="s">
        <v>47</v>
      </c>
      <c r="K18" t="s">
        <v>11</v>
      </c>
      <c r="L18" t="s">
        <v>11</v>
      </c>
      <c r="M18" t="s">
        <v>513</v>
      </c>
      <c r="N18">
        <v>0</v>
      </c>
      <c r="O18">
        <v>50</v>
      </c>
      <c r="P18">
        <v>3</v>
      </c>
      <c r="Q18">
        <v>87</v>
      </c>
      <c r="R18" t="s">
        <v>292</v>
      </c>
      <c r="S18" t="s">
        <v>549</v>
      </c>
      <c r="T18">
        <v>98</v>
      </c>
      <c r="U18">
        <v>49</v>
      </c>
      <c r="V18">
        <v>60</v>
      </c>
      <c r="W18">
        <v>0.18</v>
      </c>
      <c r="X18" s="8" t="s">
        <v>543</v>
      </c>
      <c r="Y18" s="8" t="s">
        <v>545</v>
      </c>
      <c r="Z18" s="8" t="s">
        <v>540</v>
      </c>
      <c r="AA18" s="20">
        <v>6279.4009999999998</v>
      </c>
      <c r="AB18" s="20">
        <v>1179.95</v>
      </c>
      <c r="AC18" s="20">
        <v>3350.6689999999999</v>
      </c>
      <c r="AD18" s="20">
        <v>1074.6949999999999</v>
      </c>
      <c r="AE18" s="20">
        <v>3.1746740000000002E-2</v>
      </c>
      <c r="AF18" s="20">
        <v>3.0167860000000001E-2</v>
      </c>
      <c r="AG18" s="8">
        <v>0.1736549</v>
      </c>
      <c r="AH18" s="8">
        <v>77.438000000000002</v>
      </c>
      <c r="AI18" s="8">
        <v>45.347000000000001</v>
      </c>
      <c r="AJ18" s="8">
        <v>41.04</v>
      </c>
      <c r="AK18" s="8">
        <v>12.47</v>
      </c>
      <c r="AL18" s="8">
        <v>21.75</v>
      </c>
      <c r="AM18" s="8">
        <v>16.417999999999999</v>
      </c>
    </row>
    <row r="19" spans="1:39">
      <c r="A19" t="s">
        <v>130</v>
      </c>
      <c r="B19" t="s">
        <v>286</v>
      </c>
      <c r="C19" t="s">
        <v>7</v>
      </c>
      <c r="D19" t="s">
        <v>9</v>
      </c>
      <c r="E19" t="s">
        <v>211</v>
      </c>
      <c r="F19" t="s">
        <v>227</v>
      </c>
      <c r="G19" t="s">
        <v>68</v>
      </c>
      <c r="H19">
        <v>32.6</v>
      </c>
      <c r="I19">
        <v>-85.5</v>
      </c>
      <c r="J19" t="s">
        <v>47</v>
      </c>
      <c r="K19" t="s">
        <v>11</v>
      </c>
      <c r="L19" t="s">
        <v>11</v>
      </c>
      <c r="M19" t="s">
        <v>513</v>
      </c>
      <c r="N19">
        <v>0</v>
      </c>
      <c r="O19">
        <v>50</v>
      </c>
      <c r="P19">
        <v>1</v>
      </c>
      <c r="Q19">
        <v>51</v>
      </c>
      <c r="R19" t="s">
        <v>291</v>
      </c>
      <c r="S19" t="s">
        <v>550</v>
      </c>
      <c r="T19">
        <v>-96.4</v>
      </c>
      <c r="U19">
        <v>58</v>
      </c>
      <c r="V19">
        <v>21</v>
      </c>
      <c r="W19">
        <v>0.14000000000000001</v>
      </c>
      <c r="X19" s="8" t="s">
        <v>543</v>
      </c>
      <c r="Y19" s="8" t="s">
        <v>539</v>
      </c>
      <c r="AA19" s="8"/>
      <c r="AB19" s="8"/>
      <c r="AC19" s="8"/>
      <c r="AD19" s="8"/>
      <c r="AE19" s="8"/>
      <c r="AF19" s="8"/>
      <c r="AG19" s="8"/>
      <c r="AH19" s="8"/>
      <c r="AI19" s="8"/>
      <c r="AJ19" s="8"/>
      <c r="AK19" s="8"/>
      <c r="AL19" s="8"/>
      <c r="AM19" s="8"/>
    </row>
    <row r="20" spans="1:39">
      <c r="A20" t="s">
        <v>69</v>
      </c>
      <c r="B20" t="s">
        <v>76</v>
      </c>
      <c r="C20" t="s">
        <v>53</v>
      </c>
      <c r="D20" t="s">
        <v>175</v>
      </c>
      <c r="E20" t="s">
        <v>231</v>
      </c>
      <c r="F20" t="s">
        <v>226</v>
      </c>
      <c r="G20" t="s">
        <v>72</v>
      </c>
      <c r="H20">
        <v>40.442710475055797</v>
      </c>
      <c r="I20">
        <v>-86.929954269312304</v>
      </c>
      <c r="J20" t="s">
        <v>46</v>
      </c>
      <c r="K20" t="s">
        <v>447</v>
      </c>
      <c r="L20" t="s">
        <v>512</v>
      </c>
      <c r="M20" t="s">
        <v>519</v>
      </c>
      <c r="N20">
        <v>0</v>
      </c>
      <c r="O20">
        <v>5.0999999999999996</v>
      </c>
      <c r="P20">
        <v>1</v>
      </c>
      <c r="Q20">
        <v>3</v>
      </c>
      <c r="R20" t="s">
        <v>155</v>
      </c>
      <c r="S20" t="s">
        <v>584</v>
      </c>
      <c r="T20">
        <v>143.30000000000001</v>
      </c>
      <c r="U20" s="8">
        <f>ROUND(0.1*T20,0)</f>
        <v>14</v>
      </c>
      <c r="V20">
        <v>5</v>
      </c>
      <c r="W20">
        <v>1</v>
      </c>
      <c r="X20" t="s">
        <v>132</v>
      </c>
      <c r="Y20" t="s">
        <v>541</v>
      </c>
    </row>
    <row r="21" spans="1:39">
      <c r="A21" t="s">
        <v>69</v>
      </c>
      <c r="B21" t="s">
        <v>73</v>
      </c>
      <c r="C21" t="s">
        <v>53</v>
      </c>
      <c r="D21" t="s">
        <v>175</v>
      </c>
      <c r="E21" t="s">
        <v>231</v>
      </c>
      <c r="F21" t="s">
        <v>226</v>
      </c>
      <c r="G21" t="s">
        <v>72</v>
      </c>
      <c r="H21">
        <v>40.442710475055797</v>
      </c>
      <c r="I21">
        <v>-86.929954269312304</v>
      </c>
      <c r="J21" t="s">
        <v>46</v>
      </c>
      <c r="K21" t="s">
        <v>447</v>
      </c>
      <c r="L21" t="s">
        <v>512</v>
      </c>
      <c r="M21" t="s">
        <v>519</v>
      </c>
      <c r="N21">
        <v>0</v>
      </c>
      <c r="O21">
        <v>5.0999999999999996</v>
      </c>
      <c r="P21">
        <v>1</v>
      </c>
      <c r="Q21">
        <v>3</v>
      </c>
      <c r="R21" t="s">
        <v>156</v>
      </c>
      <c r="S21" t="s">
        <v>595</v>
      </c>
      <c r="T21">
        <v>160</v>
      </c>
      <c r="U21" s="8">
        <f>ROUND(0.1*T21,0)</f>
        <v>16</v>
      </c>
      <c r="V21">
        <v>5</v>
      </c>
      <c r="W21">
        <v>1</v>
      </c>
      <c r="X21" t="s">
        <v>132</v>
      </c>
      <c r="Y21" t="s">
        <v>541</v>
      </c>
    </row>
    <row r="22" spans="1:39">
      <c r="A22" t="s">
        <v>69</v>
      </c>
      <c r="B22" t="s">
        <v>70</v>
      </c>
      <c r="C22" t="s">
        <v>53</v>
      </c>
      <c r="D22" t="s">
        <v>175</v>
      </c>
      <c r="E22" t="s">
        <v>212</v>
      </c>
      <c r="F22" t="s">
        <v>226</v>
      </c>
      <c r="G22" t="s">
        <v>72</v>
      </c>
      <c r="H22">
        <v>40.442710475055797</v>
      </c>
      <c r="I22">
        <v>-86.929954269312304</v>
      </c>
      <c r="J22" t="s">
        <v>46</v>
      </c>
      <c r="K22" t="s">
        <v>447</v>
      </c>
      <c r="L22" t="s">
        <v>512</v>
      </c>
      <c r="M22" t="s">
        <v>519</v>
      </c>
      <c r="N22">
        <v>0</v>
      </c>
      <c r="O22">
        <v>5.0999999999999996</v>
      </c>
      <c r="P22">
        <v>1</v>
      </c>
      <c r="Q22">
        <v>3</v>
      </c>
      <c r="R22" t="s">
        <v>157</v>
      </c>
      <c r="S22" t="s">
        <v>594</v>
      </c>
      <c r="T22">
        <v>140.80000000000001</v>
      </c>
      <c r="U22" s="8">
        <f>ROUND(0.1*T22,0)</f>
        <v>14</v>
      </c>
      <c r="V22">
        <v>5</v>
      </c>
      <c r="W22">
        <v>1</v>
      </c>
      <c r="X22" t="s">
        <v>132</v>
      </c>
      <c r="Y22" t="s">
        <v>541</v>
      </c>
    </row>
    <row r="23" spans="1:39">
      <c r="A23" t="s">
        <v>69</v>
      </c>
      <c r="B23" t="s">
        <v>71</v>
      </c>
      <c r="C23" t="s">
        <v>53</v>
      </c>
      <c r="D23" t="s">
        <v>175</v>
      </c>
      <c r="E23" t="s">
        <v>217</v>
      </c>
      <c r="F23" t="s">
        <v>226</v>
      </c>
      <c r="G23" t="s">
        <v>72</v>
      </c>
      <c r="H23">
        <v>40.442710475055797</v>
      </c>
      <c r="I23">
        <v>-86.929954269312304</v>
      </c>
      <c r="J23" t="s">
        <v>46</v>
      </c>
      <c r="K23" t="s">
        <v>447</v>
      </c>
      <c r="L23" t="s">
        <v>512</v>
      </c>
      <c r="M23" t="s">
        <v>519</v>
      </c>
      <c r="N23">
        <v>0</v>
      </c>
      <c r="O23">
        <v>5.0999999999999996</v>
      </c>
      <c r="P23">
        <v>1</v>
      </c>
      <c r="Q23">
        <v>3</v>
      </c>
      <c r="R23" t="s">
        <v>158</v>
      </c>
      <c r="S23" t="s">
        <v>593</v>
      </c>
      <c r="T23">
        <v>162.9</v>
      </c>
      <c r="U23" s="8">
        <f>ROUND(0.1*T23,0)</f>
        <v>16</v>
      </c>
      <c r="V23">
        <v>5</v>
      </c>
      <c r="W23">
        <v>1</v>
      </c>
      <c r="X23" t="s">
        <v>132</v>
      </c>
      <c r="Y23" t="s">
        <v>541</v>
      </c>
    </row>
    <row r="24" spans="1:39">
      <c r="A24" t="s">
        <v>4</v>
      </c>
      <c r="B24" t="s">
        <v>197</v>
      </c>
      <c r="C24" t="s">
        <v>53</v>
      </c>
      <c r="D24" t="s">
        <v>8</v>
      </c>
      <c r="E24" t="s">
        <v>212</v>
      </c>
      <c r="F24" t="s">
        <v>226</v>
      </c>
      <c r="G24" t="s">
        <v>12</v>
      </c>
      <c r="H24">
        <v>39.733106788293597</v>
      </c>
      <c r="I24">
        <v>-104.906620368929</v>
      </c>
      <c r="J24" t="s">
        <v>44</v>
      </c>
      <c r="K24" t="s">
        <v>27</v>
      </c>
      <c r="L24" t="s">
        <v>443</v>
      </c>
      <c r="M24" t="s">
        <v>516</v>
      </c>
      <c r="N24">
        <v>0</v>
      </c>
      <c r="O24">
        <v>11.4</v>
      </c>
      <c r="P24">
        <v>2</v>
      </c>
      <c r="Q24">
        <v>42</v>
      </c>
      <c r="R24" t="s">
        <v>128</v>
      </c>
      <c r="S24" t="s">
        <v>551</v>
      </c>
      <c r="T24">
        <v>70.8</v>
      </c>
      <c r="U24">
        <v>10.199999999999999</v>
      </c>
      <c r="V24">
        <v>161</v>
      </c>
      <c r="W24">
        <v>0.47</v>
      </c>
      <c r="X24" t="s">
        <v>297</v>
      </c>
      <c r="Y24" t="s">
        <v>545</v>
      </c>
      <c r="Z24" t="s">
        <v>491</v>
      </c>
      <c r="AA24" s="15">
        <v>3662.0154548</v>
      </c>
      <c r="AB24" s="15">
        <v>179.25727187000001</v>
      </c>
      <c r="AC24" s="15">
        <v>1781.8434941999999</v>
      </c>
      <c r="AD24" s="15">
        <v>202.30959634000001</v>
      </c>
      <c r="AE24" s="15">
        <v>7.6825500000000005E-2</v>
      </c>
      <c r="AF24" s="15">
        <v>3.6003449999999999E-2</v>
      </c>
      <c r="AG24" s="15">
        <v>1</v>
      </c>
      <c r="AH24" s="15">
        <v>63.493000000000002</v>
      </c>
      <c r="AI24" s="15">
        <v>11.702</v>
      </c>
      <c r="AJ24" s="15">
        <v>13.659000000000001</v>
      </c>
      <c r="AK24" s="15">
        <v>7.9</v>
      </c>
      <c r="AL24" s="15"/>
      <c r="AM24" s="15"/>
    </row>
    <row r="25" spans="1:39">
      <c r="A25" s="9" t="s">
        <v>4</v>
      </c>
      <c r="B25" s="9" t="s">
        <v>199</v>
      </c>
      <c r="C25" t="s">
        <v>53</v>
      </c>
      <c r="D25" s="9" t="s">
        <v>8</v>
      </c>
      <c r="E25" s="9" t="s">
        <v>212</v>
      </c>
      <c r="F25" s="9" t="s">
        <v>226</v>
      </c>
      <c r="G25" s="9" t="s">
        <v>91</v>
      </c>
      <c r="H25" s="9">
        <v>41.451436812951798</v>
      </c>
      <c r="I25" s="9">
        <v>-106.779868824662</v>
      </c>
      <c r="J25" s="9" t="s">
        <v>45</v>
      </c>
      <c r="K25" s="9" t="s">
        <v>448</v>
      </c>
      <c r="L25" s="9" t="s">
        <v>446</v>
      </c>
      <c r="M25" s="9" t="s">
        <v>516</v>
      </c>
      <c r="N25" s="9">
        <v>0</v>
      </c>
      <c r="O25" s="9">
        <v>15.2</v>
      </c>
      <c r="P25" s="9">
        <v>18</v>
      </c>
      <c r="Q25" s="9">
        <v>34</v>
      </c>
      <c r="R25" s="9" t="s">
        <v>129</v>
      </c>
      <c r="S25" s="9" t="s">
        <v>586</v>
      </c>
      <c r="T25" s="9">
        <v>73</v>
      </c>
      <c r="U25" s="9">
        <v>18</v>
      </c>
      <c r="V25" s="9">
        <v>90</v>
      </c>
      <c r="W25" s="9">
        <v>0.31</v>
      </c>
      <c r="X25" t="s">
        <v>297</v>
      </c>
      <c r="Y25" s="9" t="s">
        <v>545</v>
      </c>
      <c r="Z25" s="9" t="s">
        <v>492</v>
      </c>
      <c r="AA25" s="18">
        <v>3221.2562886999999</v>
      </c>
      <c r="AB25" s="18">
        <v>798.87800000000004</v>
      </c>
      <c r="AC25" s="18">
        <v>9325.4707223999994</v>
      </c>
      <c r="AD25" s="18">
        <v>14383.76</v>
      </c>
      <c r="AE25" s="18">
        <v>0.1020026</v>
      </c>
      <c r="AF25" s="18">
        <v>0.1107149</v>
      </c>
      <c r="AG25" s="18">
        <v>0.25</v>
      </c>
      <c r="AH25" s="18">
        <v>342.99700000000001</v>
      </c>
      <c r="AI25" s="18">
        <v>521.68100000000004</v>
      </c>
      <c r="AJ25" s="18">
        <v>44.597000000000001</v>
      </c>
      <c r="AK25" s="18">
        <v>33.518999999999998</v>
      </c>
      <c r="AL25" s="18"/>
      <c r="AM25" s="18"/>
    </row>
    <row r="26" spans="1:39">
      <c r="A26" t="s">
        <v>4</v>
      </c>
      <c r="B26" t="s">
        <v>198</v>
      </c>
      <c r="C26" t="s">
        <v>53</v>
      </c>
      <c r="D26" t="s">
        <v>92</v>
      </c>
      <c r="E26" t="s">
        <v>216</v>
      </c>
      <c r="F26" s="9" t="s">
        <v>226</v>
      </c>
      <c r="G26" t="s">
        <v>12</v>
      </c>
      <c r="H26">
        <v>39.733106788293597</v>
      </c>
      <c r="I26">
        <v>-104.906620368929</v>
      </c>
      <c r="J26" t="s">
        <v>44</v>
      </c>
      <c r="K26" t="s">
        <v>27</v>
      </c>
      <c r="L26" t="s">
        <v>443</v>
      </c>
      <c r="M26" s="9" t="s">
        <v>516</v>
      </c>
      <c r="N26">
        <v>0</v>
      </c>
      <c r="O26">
        <v>11.4</v>
      </c>
      <c r="P26">
        <v>1.6</v>
      </c>
      <c r="Q26">
        <v>45</v>
      </c>
      <c r="R26" t="s">
        <v>489</v>
      </c>
      <c r="S26" s="9" t="s">
        <v>552</v>
      </c>
      <c r="T26">
        <v>106</v>
      </c>
      <c r="U26">
        <v>11</v>
      </c>
      <c r="V26">
        <v>246</v>
      </c>
      <c r="W26">
        <v>0.7</v>
      </c>
      <c r="X26" t="s">
        <v>297</v>
      </c>
      <c r="Y26" s="9" t="s">
        <v>545</v>
      </c>
      <c r="Z26" t="s">
        <v>490</v>
      </c>
      <c r="AA26" s="15">
        <v>4787.2979999999998</v>
      </c>
      <c r="AB26" s="15">
        <v>918.86218059999999</v>
      </c>
      <c r="AC26" s="15">
        <v>4346.165</v>
      </c>
      <c r="AD26" s="15">
        <v>753.54631210000002</v>
      </c>
      <c r="AE26" s="15">
        <v>3.0644459999999998E-2</v>
      </c>
      <c r="AF26" s="15">
        <v>1.29249E-2</v>
      </c>
      <c r="AG26" s="15">
        <v>0.89</v>
      </c>
      <c r="AH26" s="15">
        <v>98.033000000000001</v>
      </c>
      <c r="AI26" s="15">
        <v>13.513999999999999</v>
      </c>
      <c r="AJ26" s="15">
        <v>53.112000000000002</v>
      </c>
      <c r="AK26" s="15">
        <v>7.508</v>
      </c>
      <c r="AL26" s="15"/>
      <c r="AM26" s="15"/>
    </row>
    <row r="27" spans="1:39">
      <c r="A27" t="s">
        <v>29</v>
      </c>
      <c r="B27" t="s">
        <v>30</v>
      </c>
      <c r="C27" t="s">
        <v>53</v>
      </c>
      <c r="D27" t="s">
        <v>8</v>
      </c>
      <c r="E27" t="s">
        <v>216</v>
      </c>
      <c r="F27" t="s">
        <v>226</v>
      </c>
      <c r="G27" t="s">
        <v>33</v>
      </c>
      <c r="H27">
        <v>40.670416549920198</v>
      </c>
      <c r="I27">
        <v>-95.857801840730303</v>
      </c>
      <c r="J27" t="s">
        <v>46</v>
      </c>
      <c r="K27" t="s">
        <v>447</v>
      </c>
      <c r="L27" t="s">
        <v>512</v>
      </c>
      <c r="M27" s="9" t="s">
        <v>517</v>
      </c>
      <c r="N27">
        <v>0</v>
      </c>
      <c r="O27">
        <v>20</v>
      </c>
      <c r="P27">
        <v>0.16700000000000001</v>
      </c>
      <c r="Q27">
        <v>4</v>
      </c>
      <c r="R27" t="s">
        <v>159</v>
      </c>
      <c r="S27" s="9" t="s">
        <v>592</v>
      </c>
      <c r="T27">
        <v>78</v>
      </c>
      <c r="U27">
        <f>0.1*T27</f>
        <v>7.8000000000000007</v>
      </c>
      <c r="V27">
        <v>9</v>
      </c>
      <c r="W27" s="8">
        <v>1</v>
      </c>
      <c r="X27" t="s">
        <v>132</v>
      </c>
      <c r="Y27" t="s">
        <v>541</v>
      </c>
      <c r="AA27" s="15"/>
      <c r="AB27" s="15"/>
      <c r="AC27" s="15"/>
      <c r="AD27" s="15"/>
      <c r="AE27" s="15"/>
      <c r="AF27" s="15"/>
      <c r="AG27" s="15"/>
      <c r="AH27" s="15"/>
      <c r="AI27" s="15"/>
      <c r="AJ27" s="15"/>
      <c r="AK27" s="15"/>
      <c r="AL27" s="15"/>
      <c r="AM27" s="15"/>
    </row>
    <row r="28" spans="1:39">
      <c r="A28" t="s">
        <v>29</v>
      </c>
      <c r="B28" t="s">
        <v>32</v>
      </c>
      <c r="C28" t="s">
        <v>53</v>
      </c>
      <c r="D28" t="s">
        <v>78</v>
      </c>
      <c r="E28" t="s">
        <v>218</v>
      </c>
      <c r="F28" t="s">
        <v>226</v>
      </c>
      <c r="G28" t="s">
        <v>33</v>
      </c>
      <c r="H28">
        <v>40.670416549920198</v>
      </c>
      <c r="I28">
        <v>-95.857801840730303</v>
      </c>
      <c r="J28" t="s">
        <v>46</v>
      </c>
      <c r="K28" t="s">
        <v>447</v>
      </c>
      <c r="L28" t="s">
        <v>512</v>
      </c>
      <c r="M28" s="9" t="s">
        <v>517</v>
      </c>
      <c r="N28">
        <v>0</v>
      </c>
      <c r="O28">
        <v>20</v>
      </c>
      <c r="P28">
        <v>0.16700000000000001</v>
      </c>
      <c r="Q28">
        <v>4</v>
      </c>
      <c r="R28" t="s">
        <v>160</v>
      </c>
      <c r="S28" s="9" t="s">
        <v>591</v>
      </c>
      <c r="T28">
        <v>74</v>
      </c>
      <c r="U28">
        <f>0.1*T28</f>
        <v>7.4</v>
      </c>
      <c r="V28">
        <v>9</v>
      </c>
      <c r="W28" s="8">
        <v>1</v>
      </c>
      <c r="X28" t="s">
        <v>132</v>
      </c>
      <c r="Y28" t="s">
        <v>541</v>
      </c>
      <c r="AA28" s="15"/>
      <c r="AB28" s="15"/>
      <c r="AC28" s="15"/>
      <c r="AD28" s="15"/>
      <c r="AE28" s="15"/>
      <c r="AF28" s="15"/>
      <c r="AG28" s="15"/>
      <c r="AH28" s="15"/>
      <c r="AI28" s="15"/>
      <c r="AJ28" s="15"/>
      <c r="AK28" s="15"/>
      <c r="AL28" s="15"/>
      <c r="AM28" s="15"/>
    </row>
    <row r="29" spans="1:39">
      <c r="A29" t="s">
        <v>29</v>
      </c>
      <c r="B29" t="s">
        <v>31</v>
      </c>
      <c r="C29" t="s">
        <v>53</v>
      </c>
      <c r="D29" t="s">
        <v>78</v>
      </c>
      <c r="E29" t="s">
        <v>218</v>
      </c>
      <c r="F29" t="s">
        <v>226</v>
      </c>
      <c r="G29" t="s">
        <v>33</v>
      </c>
      <c r="H29">
        <v>40.670416549920198</v>
      </c>
      <c r="I29">
        <v>-95.857801840730303</v>
      </c>
      <c r="J29" t="s">
        <v>46</v>
      </c>
      <c r="K29" t="s">
        <v>447</v>
      </c>
      <c r="L29" t="s">
        <v>512</v>
      </c>
      <c r="M29" s="9" t="s">
        <v>517</v>
      </c>
      <c r="N29">
        <v>0</v>
      </c>
      <c r="O29">
        <v>20</v>
      </c>
      <c r="P29">
        <v>0.16700000000000001</v>
      </c>
      <c r="Q29">
        <v>4</v>
      </c>
      <c r="R29" t="s">
        <v>161</v>
      </c>
      <c r="S29" s="9" t="s">
        <v>590</v>
      </c>
      <c r="T29">
        <f>0.52*100</f>
        <v>52</v>
      </c>
      <c r="U29">
        <f>0.1*T29</f>
        <v>5.2</v>
      </c>
      <c r="V29">
        <v>9</v>
      </c>
      <c r="W29" s="8">
        <v>1</v>
      </c>
      <c r="X29" t="s">
        <v>132</v>
      </c>
      <c r="Y29" t="s">
        <v>541</v>
      </c>
      <c r="AA29" s="15"/>
      <c r="AB29" s="15"/>
      <c r="AC29" s="15"/>
      <c r="AD29" s="15"/>
      <c r="AE29" s="15"/>
      <c r="AF29" s="15"/>
      <c r="AG29" s="15"/>
      <c r="AH29" s="15"/>
      <c r="AI29" s="15"/>
      <c r="AJ29" s="15"/>
      <c r="AK29" s="15"/>
      <c r="AL29" s="15"/>
      <c r="AM29" s="15"/>
    </row>
    <row r="30" spans="1:39">
      <c r="A30" t="s">
        <v>29</v>
      </c>
      <c r="B30" t="s">
        <v>166</v>
      </c>
      <c r="C30" t="s">
        <v>53</v>
      </c>
      <c r="D30" t="s">
        <v>78</v>
      </c>
      <c r="E30" t="s">
        <v>212</v>
      </c>
      <c r="F30" t="s">
        <v>226</v>
      </c>
      <c r="G30" t="s">
        <v>33</v>
      </c>
      <c r="H30">
        <v>40.670416549920198</v>
      </c>
      <c r="I30">
        <v>-95.857801840730303</v>
      </c>
      <c r="J30" t="s">
        <v>46</v>
      </c>
      <c r="K30" t="s">
        <v>447</v>
      </c>
      <c r="L30" t="s">
        <v>512</v>
      </c>
      <c r="M30" s="9" t="s">
        <v>517</v>
      </c>
      <c r="N30">
        <v>0</v>
      </c>
      <c r="O30">
        <v>20</v>
      </c>
      <c r="P30">
        <v>0.16700000000000001</v>
      </c>
      <c r="Q30">
        <v>4</v>
      </c>
      <c r="R30" t="s">
        <v>123</v>
      </c>
      <c r="S30" s="9" t="s">
        <v>589</v>
      </c>
      <c r="T30">
        <v>32</v>
      </c>
      <c r="U30">
        <f>0.1*T30</f>
        <v>3.2</v>
      </c>
      <c r="V30">
        <v>9</v>
      </c>
      <c r="W30" s="8">
        <v>1</v>
      </c>
      <c r="X30" t="s">
        <v>132</v>
      </c>
      <c r="Y30" t="s">
        <v>541</v>
      </c>
      <c r="AA30" s="15"/>
      <c r="AB30" s="15"/>
      <c r="AC30" s="15"/>
      <c r="AD30" s="15"/>
      <c r="AE30" s="15"/>
      <c r="AF30" s="15"/>
      <c r="AG30" s="15"/>
      <c r="AH30" s="15"/>
      <c r="AI30" s="15"/>
      <c r="AJ30" s="15"/>
      <c r="AK30" s="15"/>
      <c r="AL30" s="15"/>
      <c r="AM30" s="15"/>
    </row>
    <row r="31" spans="1:39">
      <c r="A31" t="s">
        <v>74</v>
      </c>
      <c r="B31" t="s">
        <v>221</v>
      </c>
      <c r="C31" t="s">
        <v>7</v>
      </c>
      <c r="D31" t="s">
        <v>9</v>
      </c>
      <c r="E31" t="s">
        <v>231</v>
      </c>
      <c r="F31" s="9" t="s">
        <v>226</v>
      </c>
      <c r="G31" t="s">
        <v>75</v>
      </c>
      <c r="H31">
        <v>39.250183999999997</v>
      </c>
      <c r="I31">
        <v>-76.500609999999995</v>
      </c>
      <c r="J31" t="s">
        <v>47</v>
      </c>
      <c r="K31" t="s">
        <v>11</v>
      </c>
      <c r="L31" t="s">
        <v>11</v>
      </c>
      <c r="M31" s="9" t="s">
        <v>517</v>
      </c>
      <c r="N31">
        <v>0</v>
      </c>
      <c r="O31">
        <v>100</v>
      </c>
      <c r="P31">
        <v>4</v>
      </c>
      <c r="Q31">
        <v>44</v>
      </c>
      <c r="R31" t="s">
        <v>124</v>
      </c>
      <c r="S31" s="9" t="s">
        <v>588</v>
      </c>
      <c r="T31">
        <v>82</v>
      </c>
      <c r="U31">
        <v>30</v>
      </c>
      <c r="V31">
        <v>9</v>
      </c>
      <c r="W31">
        <v>0.55000000000000004</v>
      </c>
      <c r="X31" t="s">
        <v>172</v>
      </c>
      <c r="Y31" t="s">
        <v>545</v>
      </c>
      <c r="Z31" t="s">
        <v>499</v>
      </c>
      <c r="AA31" s="15">
        <v>15288.13</v>
      </c>
      <c r="AB31" s="15">
        <v>143201.1</v>
      </c>
      <c r="AC31" s="15">
        <v>11435.03</v>
      </c>
      <c r="AD31" s="15">
        <v>141331.6</v>
      </c>
      <c r="AE31" s="15">
        <v>7.2765740000000001E-3</v>
      </c>
      <c r="AF31" s="15">
        <v>0.110348</v>
      </c>
      <c r="AG31" s="15">
        <v>0.33</v>
      </c>
      <c r="AH31" s="15">
        <v>77.367999999999995</v>
      </c>
      <c r="AI31" s="15">
        <v>140.08000000000001</v>
      </c>
      <c r="AJ31" s="15">
        <v>66.89</v>
      </c>
      <c r="AK31" s="15">
        <v>50.817999999999998</v>
      </c>
      <c r="AL31" s="15"/>
      <c r="AM31" s="15"/>
    </row>
    <row r="32" spans="1:39">
      <c r="A32" t="s">
        <v>74</v>
      </c>
      <c r="B32" t="s">
        <v>222</v>
      </c>
      <c r="C32" t="s">
        <v>7</v>
      </c>
      <c r="D32" t="s">
        <v>9</v>
      </c>
      <c r="E32" t="s">
        <v>231</v>
      </c>
      <c r="F32" s="9" t="s">
        <v>226</v>
      </c>
      <c r="G32" t="s">
        <v>75</v>
      </c>
      <c r="H32">
        <v>39.250183999999997</v>
      </c>
      <c r="I32">
        <v>-76.500609999999995</v>
      </c>
      <c r="J32" t="s">
        <v>47</v>
      </c>
      <c r="K32" t="s">
        <v>11</v>
      </c>
      <c r="L32" t="s">
        <v>11</v>
      </c>
      <c r="M32" s="9" t="s">
        <v>513</v>
      </c>
      <c r="N32">
        <v>0</v>
      </c>
      <c r="O32">
        <v>100</v>
      </c>
      <c r="P32">
        <v>6</v>
      </c>
      <c r="Q32">
        <v>59</v>
      </c>
      <c r="R32" t="s">
        <v>520</v>
      </c>
      <c r="S32" s="9" t="s">
        <v>587</v>
      </c>
      <c r="T32">
        <v>-32.799999999999997</v>
      </c>
      <c r="U32">
        <v>31.2</v>
      </c>
      <c r="V32">
        <v>21</v>
      </c>
      <c r="W32">
        <v>0.03</v>
      </c>
      <c r="X32" t="s">
        <v>223</v>
      </c>
      <c r="Y32" t="s">
        <v>539</v>
      </c>
      <c r="AA32" s="15"/>
      <c r="AB32" s="15"/>
      <c r="AC32" s="15"/>
      <c r="AD32" s="15"/>
      <c r="AE32" s="15"/>
      <c r="AF32" s="15"/>
      <c r="AG32" s="15"/>
      <c r="AH32" s="15"/>
      <c r="AI32" s="15"/>
      <c r="AJ32" s="15"/>
      <c r="AK32" s="15"/>
      <c r="AL32" s="15"/>
      <c r="AM32" s="15"/>
    </row>
    <row r="33" spans="1:39">
      <c r="A33" t="s">
        <v>191</v>
      </c>
      <c r="B33" t="s">
        <v>196</v>
      </c>
      <c r="C33" t="s">
        <v>7</v>
      </c>
      <c r="D33" t="s">
        <v>9</v>
      </c>
      <c r="E33" t="s">
        <v>210</v>
      </c>
      <c r="F33" t="s">
        <v>227</v>
      </c>
      <c r="G33" t="s">
        <v>55</v>
      </c>
      <c r="H33">
        <v>33.586230800000003</v>
      </c>
      <c r="I33">
        <v>-101.90239</v>
      </c>
      <c r="J33" t="s">
        <v>44</v>
      </c>
      <c r="K33" t="s">
        <v>27</v>
      </c>
      <c r="L33" t="s">
        <v>443</v>
      </c>
      <c r="M33" s="9" t="s">
        <v>517</v>
      </c>
      <c r="N33">
        <v>0</v>
      </c>
      <c r="O33">
        <v>10</v>
      </c>
      <c r="P33">
        <v>0</v>
      </c>
      <c r="Q33">
        <v>63</v>
      </c>
      <c r="R33" t="s">
        <v>493</v>
      </c>
      <c r="S33" s="9" t="s">
        <v>554</v>
      </c>
      <c r="T33">
        <v>33.520000000000003</v>
      </c>
      <c r="U33">
        <v>6.34</v>
      </c>
      <c r="V33">
        <v>36</v>
      </c>
      <c r="W33">
        <v>0.753</v>
      </c>
      <c r="X33" t="s">
        <v>90</v>
      </c>
      <c r="Y33" t="s">
        <v>545</v>
      </c>
      <c r="Z33" t="s">
        <v>494</v>
      </c>
      <c r="AA33" s="15">
        <v>1270.23</v>
      </c>
      <c r="AB33" s="15">
        <v>135.58173583000001</v>
      </c>
      <c r="AC33" s="15">
        <v>877.90769999999998</v>
      </c>
      <c r="AD33" s="15">
        <v>116.20675730000001</v>
      </c>
      <c r="AE33" s="15">
        <v>3.6547719999999999E-2</v>
      </c>
      <c r="AF33" s="15">
        <v>1.4802829999999999E-2</v>
      </c>
      <c r="AG33" s="15">
        <v>0.73499999999999999</v>
      </c>
      <c r="AH33" s="15">
        <v>22.263000000000002</v>
      </c>
      <c r="AI33" s="15">
        <v>4.4459999999999997</v>
      </c>
      <c r="AJ33" s="15">
        <v>10.718999999999999</v>
      </c>
      <c r="AK33" s="15">
        <v>1.718</v>
      </c>
      <c r="AL33" s="15">
        <v>5.16</v>
      </c>
      <c r="AM33" s="15">
        <v>2.23</v>
      </c>
    </row>
    <row r="34" spans="1:39">
      <c r="A34" t="s">
        <v>77</v>
      </c>
      <c r="B34" t="s">
        <v>167</v>
      </c>
      <c r="C34" t="s">
        <v>7</v>
      </c>
      <c r="D34" t="s">
        <v>8</v>
      </c>
      <c r="E34" t="s">
        <v>231</v>
      </c>
      <c r="F34" s="9" t="s">
        <v>226</v>
      </c>
      <c r="G34" t="s">
        <v>79</v>
      </c>
      <c r="H34">
        <v>39.884551999999999</v>
      </c>
      <c r="I34">
        <v>-83.157804999999996</v>
      </c>
      <c r="J34" t="s">
        <v>46</v>
      </c>
      <c r="K34" t="s">
        <v>447</v>
      </c>
      <c r="L34" t="s">
        <v>512</v>
      </c>
      <c r="M34" s="9" t="s">
        <v>517</v>
      </c>
      <c r="N34">
        <v>0</v>
      </c>
      <c r="O34">
        <v>15</v>
      </c>
      <c r="P34">
        <v>0</v>
      </c>
      <c r="Q34">
        <v>97</v>
      </c>
      <c r="R34" t="s">
        <v>317</v>
      </c>
      <c r="S34" s="9" t="s">
        <v>553</v>
      </c>
      <c r="T34">
        <v>114.6</v>
      </c>
      <c r="U34">
        <v>38.4</v>
      </c>
      <c r="V34">
        <v>11</v>
      </c>
      <c r="W34">
        <v>0.63</v>
      </c>
      <c r="X34" t="s">
        <v>318</v>
      </c>
      <c r="Y34" t="s">
        <v>545</v>
      </c>
      <c r="Z34" t="s">
        <v>359</v>
      </c>
      <c r="AA34" s="15">
        <v>9712.5168529999992</v>
      </c>
      <c r="AB34" s="15">
        <v>510.62310000000002</v>
      </c>
      <c r="AC34" s="15">
        <v>4931.3317955000002</v>
      </c>
      <c r="AD34" s="15">
        <v>1189.336</v>
      </c>
      <c r="AE34" s="15">
        <v>0.11745029999999999</v>
      </c>
      <c r="AF34" s="15">
        <v>7.9109059999999995E-2</v>
      </c>
      <c r="AG34">
        <v>0.69266000000000005</v>
      </c>
      <c r="AH34">
        <v>178.953</v>
      </c>
      <c r="AI34">
        <v>43.747</v>
      </c>
      <c r="AJ34">
        <v>17.084</v>
      </c>
      <c r="AK34">
        <v>28.434999999999999</v>
      </c>
      <c r="AL34">
        <v>1.631</v>
      </c>
      <c r="AM34">
        <v>5.282</v>
      </c>
    </row>
    <row r="35" spans="1:39">
      <c r="A35" t="s">
        <v>77</v>
      </c>
      <c r="B35" t="s">
        <v>168</v>
      </c>
      <c r="C35" t="s">
        <v>7</v>
      </c>
      <c r="D35" t="s">
        <v>78</v>
      </c>
      <c r="E35" s="9" t="s">
        <v>231</v>
      </c>
      <c r="F35" s="9" t="s">
        <v>226</v>
      </c>
      <c r="G35" t="s">
        <v>79</v>
      </c>
      <c r="H35">
        <v>39.884551999999999</v>
      </c>
      <c r="I35">
        <v>-83.157804999999996</v>
      </c>
      <c r="J35" t="s">
        <v>46</v>
      </c>
      <c r="K35" t="s">
        <v>447</v>
      </c>
      <c r="L35" t="s">
        <v>512</v>
      </c>
      <c r="M35" s="9" t="s">
        <v>517</v>
      </c>
      <c r="N35">
        <v>0</v>
      </c>
      <c r="O35">
        <v>15</v>
      </c>
      <c r="P35">
        <v>0</v>
      </c>
      <c r="Q35">
        <v>97</v>
      </c>
      <c r="R35" t="s">
        <v>324</v>
      </c>
      <c r="S35" s="9" t="s">
        <v>555</v>
      </c>
      <c r="T35">
        <v>98.9</v>
      </c>
      <c r="U35">
        <v>39.299999999999997</v>
      </c>
      <c r="V35">
        <v>11</v>
      </c>
      <c r="W35">
        <v>0.47</v>
      </c>
      <c r="X35" t="s">
        <v>318</v>
      </c>
      <c r="Y35" t="s">
        <v>545</v>
      </c>
      <c r="Z35" t="s">
        <v>354</v>
      </c>
      <c r="AA35" s="15">
        <v>8101.8998963000004</v>
      </c>
      <c r="AB35" s="15">
        <v>467.16118349999999</v>
      </c>
      <c r="AC35" s="15">
        <v>4226.0123401000001</v>
      </c>
      <c r="AD35" s="15">
        <v>1475.7993259</v>
      </c>
      <c r="AE35" s="15">
        <v>0.70264009999999999</v>
      </c>
      <c r="AF35" s="15">
        <v>0.71641589999999999</v>
      </c>
      <c r="AG35">
        <v>0.51100000000000001</v>
      </c>
      <c r="AH35">
        <v>2.637</v>
      </c>
      <c r="AI35">
        <v>16.097999999999999</v>
      </c>
      <c r="AJ35">
        <v>0</v>
      </c>
      <c r="AK35">
        <v>0</v>
      </c>
      <c r="AL35">
        <v>0</v>
      </c>
      <c r="AM35">
        <v>0</v>
      </c>
    </row>
    <row r="36" spans="1:39">
      <c r="A36" t="s">
        <v>14</v>
      </c>
      <c r="B36" t="s">
        <v>164</v>
      </c>
      <c r="C36" t="s">
        <v>7</v>
      </c>
      <c r="D36" t="s">
        <v>9</v>
      </c>
      <c r="E36" t="s">
        <v>210</v>
      </c>
      <c r="F36" t="s">
        <v>227</v>
      </c>
      <c r="G36" t="s">
        <v>81</v>
      </c>
      <c r="H36">
        <v>35.077272112835502</v>
      </c>
      <c r="I36">
        <v>-106.607139391583</v>
      </c>
      <c r="J36" t="s">
        <v>49</v>
      </c>
      <c r="K36" t="s">
        <v>50</v>
      </c>
      <c r="L36" t="s">
        <v>444</v>
      </c>
      <c r="M36" s="9" t="s">
        <v>514</v>
      </c>
      <c r="N36">
        <v>0</v>
      </c>
      <c r="O36">
        <v>15</v>
      </c>
      <c r="P36">
        <v>0</v>
      </c>
      <c r="Q36">
        <v>83</v>
      </c>
      <c r="R36" t="s">
        <v>329</v>
      </c>
      <c r="S36" s="9" t="s">
        <v>556</v>
      </c>
      <c r="T36">
        <v>130</v>
      </c>
      <c r="U36">
        <v>13.8</v>
      </c>
      <c r="V36">
        <v>8</v>
      </c>
      <c r="W36">
        <v>0.91</v>
      </c>
      <c r="X36" t="s">
        <v>319</v>
      </c>
      <c r="Y36" t="s">
        <v>545</v>
      </c>
      <c r="Z36" t="s">
        <v>360</v>
      </c>
      <c r="AA36" s="15">
        <v>7696.0384617</v>
      </c>
      <c r="AB36" s="15">
        <v>1978.327</v>
      </c>
      <c r="AC36" s="15">
        <v>7459.0085777000004</v>
      </c>
      <c r="AD36" s="15">
        <v>1909.2829999999999</v>
      </c>
      <c r="AE36" s="15">
        <v>2.9072299999999999E-2</v>
      </c>
      <c r="AF36" s="15">
        <v>1.756135E-2</v>
      </c>
      <c r="AG36">
        <v>0.87776050000000005</v>
      </c>
      <c r="AH36">
        <v>162.14400000000001</v>
      </c>
      <c r="AI36">
        <v>46.651000000000003</v>
      </c>
      <c r="AJ36">
        <v>90.653000000000006</v>
      </c>
      <c r="AK36">
        <v>18.47</v>
      </c>
      <c r="AL36">
        <v>50.683</v>
      </c>
      <c r="AM36">
        <v>25.187000000000001</v>
      </c>
    </row>
    <row r="37" spans="1:39">
      <c r="A37" t="s">
        <v>14</v>
      </c>
      <c r="B37" t="s">
        <v>179</v>
      </c>
      <c r="C37" t="s">
        <v>7</v>
      </c>
      <c r="D37" t="s">
        <v>9</v>
      </c>
      <c r="E37" t="s">
        <v>211</v>
      </c>
      <c r="F37" t="s">
        <v>227</v>
      </c>
      <c r="G37" t="s">
        <v>15</v>
      </c>
      <c r="H37">
        <v>33.793886911264103</v>
      </c>
      <c r="I37">
        <v>-84.447394418161807</v>
      </c>
      <c r="J37" t="s">
        <v>47</v>
      </c>
      <c r="K37" t="s">
        <v>11</v>
      </c>
      <c r="L37" t="s">
        <v>11</v>
      </c>
      <c r="M37" s="9" t="s">
        <v>513</v>
      </c>
      <c r="N37">
        <v>0</v>
      </c>
      <c r="O37">
        <v>15</v>
      </c>
      <c r="P37">
        <v>0</v>
      </c>
      <c r="Q37">
        <v>94</v>
      </c>
      <c r="R37" t="s">
        <v>339</v>
      </c>
      <c r="S37" s="9" t="s">
        <v>557</v>
      </c>
      <c r="T37">
        <v>107</v>
      </c>
      <c r="U37">
        <v>69</v>
      </c>
      <c r="V37">
        <v>11</v>
      </c>
      <c r="W37">
        <v>0.47</v>
      </c>
      <c r="X37" t="s">
        <v>319</v>
      </c>
      <c r="Y37" t="s">
        <v>545</v>
      </c>
      <c r="Z37" t="s">
        <v>361</v>
      </c>
      <c r="AA37" s="15">
        <v>4389.8649999999998</v>
      </c>
      <c r="AB37" s="15">
        <v>2866.1060000000002</v>
      </c>
      <c r="AC37" s="15">
        <v>3413.41</v>
      </c>
      <c r="AD37" s="15">
        <v>2667.741</v>
      </c>
      <c r="AE37" s="15">
        <v>2.2522179999999999E-2</v>
      </c>
      <c r="AF37" s="15">
        <v>4.3837870000000001E-2</v>
      </c>
      <c r="AG37" s="14">
        <v>0.35499999999999998</v>
      </c>
      <c r="AH37" s="15">
        <v>61.374000000000002</v>
      </c>
      <c r="AI37" s="15">
        <v>61.887999999999998</v>
      </c>
      <c r="AJ37" s="15">
        <v>39.116999999999997</v>
      </c>
      <c r="AK37" s="15">
        <v>18.648</v>
      </c>
      <c r="AL37" s="15">
        <v>24.931000000000001</v>
      </c>
      <c r="AM37" s="15">
        <v>24.619</v>
      </c>
    </row>
    <row r="38" spans="1:39">
      <c r="A38" t="s">
        <v>14</v>
      </c>
      <c r="B38" t="s">
        <v>165</v>
      </c>
      <c r="C38" t="s">
        <v>7</v>
      </c>
      <c r="D38" t="s">
        <v>9</v>
      </c>
      <c r="E38" t="s">
        <v>212</v>
      </c>
      <c r="F38" t="s">
        <v>226</v>
      </c>
      <c r="G38" t="s">
        <v>16</v>
      </c>
      <c r="H38">
        <v>41.128636017299598</v>
      </c>
      <c r="I38">
        <v>-104.796589567232</v>
      </c>
      <c r="J38" t="s">
        <v>44</v>
      </c>
      <c r="K38" t="s">
        <v>27</v>
      </c>
      <c r="L38" t="s">
        <v>443</v>
      </c>
      <c r="M38" s="9" t="s">
        <v>516</v>
      </c>
      <c r="N38">
        <v>0</v>
      </c>
      <c r="O38">
        <v>15</v>
      </c>
      <c r="P38">
        <v>0</v>
      </c>
      <c r="Q38">
        <v>93</v>
      </c>
      <c r="R38" t="s">
        <v>338</v>
      </c>
      <c r="S38" s="9" t="s">
        <v>558</v>
      </c>
      <c r="T38">
        <v>181</v>
      </c>
      <c r="U38">
        <v>75</v>
      </c>
      <c r="V38">
        <v>10</v>
      </c>
      <c r="W38">
        <v>0.64</v>
      </c>
      <c r="X38" t="s">
        <v>319</v>
      </c>
      <c r="Y38" t="s">
        <v>545</v>
      </c>
      <c r="Z38" t="s">
        <v>362</v>
      </c>
      <c r="AA38">
        <v>5402.9026323999997</v>
      </c>
      <c r="AB38">
        <v>650.32967380000002</v>
      </c>
      <c r="AC38">
        <v>4845.8527041999996</v>
      </c>
      <c r="AD38">
        <v>1410.0458897999999</v>
      </c>
      <c r="AE38">
        <v>0.1228192</v>
      </c>
      <c r="AF38">
        <v>0.1181923</v>
      </c>
      <c r="AG38">
        <v>0.63500000000000001</v>
      </c>
      <c r="AH38">
        <v>174.27699999999999</v>
      </c>
      <c r="AI38">
        <v>58.131</v>
      </c>
      <c r="AJ38">
        <v>14.943</v>
      </c>
      <c r="AK38">
        <v>38.110999999999997</v>
      </c>
      <c r="AL38">
        <v>1.2809999999999999</v>
      </c>
      <c r="AM38">
        <v>6.2869999999999999</v>
      </c>
    </row>
    <row r="39" spans="1:39">
      <c r="A39" t="s">
        <v>14</v>
      </c>
      <c r="B39" t="s">
        <v>82</v>
      </c>
      <c r="C39" t="s">
        <v>7</v>
      </c>
      <c r="D39" t="s">
        <v>9</v>
      </c>
      <c r="E39" t="s">
        <v>211</v>
      </c>
      <c r="F39" t="s">
        <v>227</v>
      </c>
      <c r="G39" t="s">
        <v>17</v>
      </c>
      <c r="H39">
        <v>32.779950651512998</v>
      </c>
      <c r="I39">
        <v>-96.8771670748079</v>
      </c>
      <c r="J39" t="s">
        <v>47</v>
      </c>
      <c r="K39" t="s">
        <v>11</v>
      </c>
      <c r="L39" t="s">
        <v>11</v>
      </c>
      <c r="M39" s="9" t="s">
        <v>439</v>
      </c>
      <c r="N39">
        <v>0</v>
      </c>
      <c r="O39">
        <v>15</v>
      </c>
      <c r="P39">
        <v>0</v>
      </c>
      <c r="Q39">
        <v>93</v>
      </c>
      <c r="R39" t="s">
        <v>344</v>
      </c>
      <c r="S39" s="9" t="s">
        <v>559</v>
      </c>
      <c r="T39">
        <v>131</v>
      </c>
      <c r="U39">
        <v>28</v>
      </c>
      <c r="V39">
        <v>11</v>
      </c>
      <c r="W39">
        <v>0.88</v>
      </c>
      <c r="X39" t="s">
        <v>319</v>
      </c>
      <c r="Y39" t="s">
        <v>545</v>
      </c>
      <c r="Z39" s="15" t="s">
        <v>363</v>
      </c>
      <c r="AA39" s="15">
        <v>5321.1517961</v>
      </c>
      <c r="AB39" s="15">
        <v>337.96679969000002</v>
      </c>
      <c r="AC39" s="15">
        <v>3681.7750305</v>
      </c>
      <c r="AD39" s="15">
        <v>875.06144271999995</v>
      </c>
      <c r="AE39" s="15">
        <v>0.13946810000000001</v>
      </c>
      <c r="AF39" s="15">
        <v>9.8675949999999998E-2</v>
      </c>
      <c r="AG39" s="15">
        <v>0.70499999999999996</v>
      </c>
      <c r="AH39" s="15">
        <v>127.3</v>
      </c>
      <c r="AI39" s="15">
        <v>39.930999999999997</v>
      </c>
      <c r="AJ39" s="15">
        <v>7.8239999999999998</v>
      </c>
      <c r="AK39" s="15">
        <v>17.213000000000001</v>
      </c>
      <c r="AL39" s="15">
        <v>0.48099999999999998</v>
      </c>
      <c r="AM39" s="15">
        <v>2.004</v>
      </c>
    </row>
    <row r="40" spans="1:39">
      <c r="A40" t="s">
        <v>14</v>
      </c>
      <c r="B40" t="s">
        <v>184</v>
      </c>
      <c r="C40" t="s">
        <v>7</v>
      </c>
      <c r="D40" t="s">
        <v>9</v>
      </c>
      <c r="E40" t="s">
        <v>212</v>
      </c>
      <c r="F40" t="s">
        <v>226</v>
      </c>
      <c r="G40" t="s">
        <v>12</v>
      </c>
      <c r="H40">
        <v>39.733106788293597</v>
      </c>
      <c r="I40">
        <v>-104.906620368929</v>
      </c>
      <c r="J40" t="s">
        <v>44</v>
      </c>
      <c r="K40" t="s">
        <v>27</v>
      </c>
      <c r="L40" t="s">
        <v>443</v>
      </c>
      <c r="M40" t="s">
        <v>516</v>
      </c>
      <c r="N40">
        <v>0</v>
      </c>
      <c r="O40">
        <v>15</v>
      </c>
      <c r="P40">
        <v>0</v>
      </c>
      <c r="Q40">
        <v>83</v>
      </c>
      <c r="R40" t="s">
        <v>386</v>
      </c>
      <c r="S40" s="9" t="s">
        <v>560</v>
      </c>
      <c r="T40">
        <v>103</v>
      </c>
      <c r="U40">
        <v>173</v>
      </c>
      <c r="V40">
        <v>9</v>
      </c>
      <c r="W40">
        <v>0.36</v>
      </c>
      <c r="X40" t="s">
        <v>319</v>
      </c>
      <c r="Y40" t="s">
        <v>545</v>
      </c>
      <c r="Z40" s="15" t="s">
        <v>364</v>
      </c>
      <c r="AA40" s="15">
        <v>13081.07</v>
      </c>
      <c r="AB40" s="15">
        <v>32166.94</v>
      </c>
      <c r="AC40" s="15">
        <v>10217.57</v>
      </c>
      <c r="AD40" s="15">
        <v>30792.799999999999</v>
      </c>
      <c r="AE40" s="15">
        <v>9.9238109999999994E-3</v>
      </c>
      <c r="AF40" s="15">
        <v>4.6014220000000002E-2</v>
      </c>
      <c r="AG40" s="15">
        <v>0.36059999999999998</v>
      </c>
      <c r="AH40" s="15">
        <v>91.817999999999998</v>
      </c>
      <c r="AI40" s="15">
        <v>121.992</v>
      </c>
      <c r="AJ40" s="15">
        <v>75.289000000000001</v>
      </c>
      <c r="AK40" s="15">
        <v>46.46</v>
      </c>
      <c r="AL40" s="15">
        <v>61.734999999999999</v>
      </c>
      <c r="AM40" s="15">
        <v>51.287999999999997</v>
      </c>
    </row>
    <row r="41" spans="1:39">
      <c r="A41" t="s">
        <v>14</v>
      </c>
      <c r="B41" t="s">
        <v>83</v>
      </c>
      <c r="C41" t="s">
        <v>7</v>
      </c>
      <c r="D41" t="s">
        <v>9</v>
      </c>
      <c r="E41" t="s">
        <v>212</v>
      </c>
      <c r="F41" t="s">
        <v>226</v>
      </c>
      <c r="G41" t="s">
        <v>18</v>
      </c>
      <c r="H41">
        <v>46.771017225883298</v>
      </c>
      <c r="I41">
        <v>-92.163098499773994</v>
      </c>
      <c r="J41" t="s">
        <v>45</v>
      </c>
      <c r="K41" s="9" t="s">
        <v>448</v>
      </c>
      <c r="L41" s="9" t="s">
        <v>446</v>
      </c>
      <c r="M41" s="9" t="s">
        <v>439</v>
      </c>
      <c r="N41">
        <v>0</v>
      </c>
      <c r="O41">
        <v>15</v>
      </c>
      <c r="P41">
        <v>0</v>
      </c>
      <c r="Q41">
        <v>100</v>
      </c>
      <c r="R41" t="s">
        <v>385</v>
      </c>
      <c r="S41" s="9" t="s">
        <v>561</v>
      </c>
      <c r="T41">
        <v>193</v>
      </c>
      <c r="U41">
        <v>66.400000000000006</v>
      </c>
      <c r="V41">
        <v>11</v>
      </c>
      <c r="W41">
        <v>0.74</v>
      </c>
      <c r="X41" t="s">
        <v>319</v>
      </c>
      <c r="Y41" t="s">
        <v>545</v>
      </c>
      <c r="Z41" s="15" t="s">
        <v>373</v>
      </c>
      <c r="AA41" s="15">
        <v>7474.2640000000001</v>
      </c>
      <c r="AB41" s="15">
        <v>1349.7729999999999</v>
      </c>
      <c r="AC41" s="15">
        <v>5304.7939999999999</v>
      </c>
      <c r="AD41" s="15">
        <v>1827.357</v>
      </c>
      <c r="AE41" s="15">
        <v>3.5224129999999999E-2</v>
      </c>
      <c r="AF41" s="15">
        <v>3.1494950000000001E-2</v>
      </c>
      <c r="AG41" s="15">
        <v>0.52</v>
      </c>
      <c r="AH41" s="15">
        <v>131.381</v>
      </c>
      <c r="AI41" s="15">
        <v>82.53</v>
      </c>
      <c r="AJ41" s="15">
        <v>64.95</v>
      </c>
      <c r="AK41" s="15">
        <v>23.096</v>
      </c>
      <c r="AL41" s="15">
        <v>32.109000000000002</v>
      </c>
      <c r="AM41" s="15">
        <v>25.923999999999999</v>
      </c>
    </row>
    <row r="42" spans="1:39">
      <c r="A42" t="s">
        <v>14</v>
      </c>
      <c r="B42" t="s">
        <v>84</v>
      </c>
      <c r="C42" t="s">
        <v>7</v>
      </c>
      <c r="D42" t="s">
        <v>9</v>
      </c>
      <c r="E42" t="s">
        <v>213</v>
      </c>
      <c r="F42" t="s">
        <v>227</v>
      </c>
      <c r="G42" t="s">
        <v>36</v>
      </c>
      <c r="H42">
        <v>29.747751986483799</v>
      </c>
      <c r="I42">
        <v>-95.432924251258598</v>
      </c>
      <c r="J42" t="s">
        <v>47</v>
      </c>
      <c r="K42" t="s">
        <v>11</v>
      </c>
      <c r="L42" t="s">
        <v>11</v>
      </c>
      <c r="M42" s="9" t="s">
        <v>439</v>
      </c>
      <c r="N42">
        <v>0</v>
      </c>
      <c r="O42">
        <v>15</v>
      </c>
      <c r="P42">
        <v>0</v>
      </c>
      <c r="Q42">
        <v>100</v>
      </c>
      <c r="R42" t="s">
        <v>384</v>
      </c>
      <c r="S42" s="9" t="s">
        <v>562</v>
      </c>
      <c r="T42">
        <v>125</v>
      </c>
      <c r="U42">
        <v>62.7</v>
      </c>
      <c r="V42">
        <v>10</v>
      </c>
      <c r="W42">
        <v>0.65</v>
      </c>
      <c r="X42" t="s">
        <v>319</v>
      </c>
      <c r="Y42" t="s">
        <v>545</v>
      </c>
      <c r="Z42" s="15" t="s">
        <v>374</v>
      </c>
      <c r="AA42" s="15">
        <v>4938.8609133999998</v>
      </c>
      <c r="AB42" s="15">
        <v>484.48313039999999</v>
      </c>
      <c r="AC42" s="15">
        <v>4191.2794142000002</v>
      </c>
      <c r="AD42" s="15">
        <v>1260.1452303000001</v>
      </c>
      <c r="AE42" s="15">
        <v>0.17914830000000001</v>
      </c>
      <c r="AF42" s="15">
        <v>0.19490730000000001</v>
      </c>
      <c r="AG42" s="15">
        <v>0.63970000000000005</v>
      </c>
      <c r="AH42" s="15">
        <v>125.178</v>
      </c>
      <c r="AI42" s="15">
        <v>101.71</v>
      </c>
      <c r="AJ42" s="15">
        <v>3.4790000000000001</v>
      </c>
      <c r="AK42" s="15">
        <v>16.241</v>
      </c>
      <c r="AL42" s="15">
        <v>9.7000000000000003E-2</v>
      </c>
      <c r="AM42" s="15">
        <v>0.82799999999999996</v>
      </c>
    </row>
    <row r="43" spans="1:39">
      <c r="A43" t="s">
        <v>14</v>
      </c>
      <c r="B43" t="s">
        <v>177</v>
      </c>
      <c r="C43" t="s">
        <v>7</v>
      </c>
      <c r="D43" t="s">
        <v>9</v>
      </c>
      <c r="E43" t="s">
        <v>210</v>
      </c>
      <c r="F43" t="s">
        <v>227</v>
      </c>
      <c r="G43" t="s">
        <v>19</v>
      </c>
      <c r="H43">
        <v>36.105814201600602</v>
      </c>
      <c r="I43">
        <v>-115.234095477523</v>
      </c>
      <c r="J43" t="s">
        <v>48</v>
      </c>
      <c r="K43" t="s">
        <v>28</v>
      </c>
      <c r="L43" t="s">
        <v>444</v>
      </c>
      <c r="M43" t="s">
        <v>514</v>
      </c>
      <c r="N43">
        <v>0</v>
      </c>
      <c r="O43">
        <v>15</v>
      </c>
      <c r="P43">
        <v>0</v>
      </c>
      <c r="Q43">
        <v>73</v>
      </c>
      <c r="R43" t="s">
        <v>383</v>
      </c>
      <c r="S43" s="9" t="s">
        <v>563</v>
      </c>
      <c r="T43">
        <v>249</v>
      </c>
      <c r="U43">
        <v>36.1</v>
      </c>
      <c r="V43">
        <v>7</v>
      </c>
      <c r="W43">
        <v>0.94</v>
      </c>
      <c r="X43" t="s">
        <v>319</v>
      </c>
      <c r="Y43" t="s">
        <v>539</v>
      </c>
      <c r="Z43" s="15"/>
      <c r="AA43" s="15"/>
      <c r="AB43" s="15"/>
      <c r="AC43" s="15"/>
      <c r="AD43" s="15"/>
      <c r="AE43" s="15"/>
      <c r="AF43" s="15"/>
      <c r="AG43" s="15"/>
      <c r="AH43" s="15"/>
      <c r="AI43" s="15"/>
      <c r="AJ43" s="15"/>
      <c r="AK43" s="15"/>
      <c r="AL43" s="15"/>
      <c r="AM43" s="15"/>
    </row>
    <row r="44" spans="1:39">
      <c r="A44" t="s">
        <v>14</v>
      </c>
      <c r="B44" t="s">
        <v>85</v>
      </c>
      <c r="C44" t="s">
        <v>7</v>
      </c>
      <c r="D44" t="s">
        <v>9</v>
      </c>
      <c r="E44" t="s">
        <v>212</v>
      </c>
      <c r="F44" t="s">
        <v>226</v>
      </c>
      <c r="G44" t="s">
        <v>20</v>
      </c>
      <c r="H44">
        <v>44.9429152091258</v>
      </c>
      <c r="I44">
        <v>-93.293760568428397</v>
      </c>
      <c r="J44" t="s">
        <v>45</v>
      </c>
      <c r="K44" s="9" t="s">
        <v>448</v>
      </c>
      <c r="L44" s="9" t="s">
        <v>446</v>
      </c>
      <c r="M44" s="9" t="s">
        <v>439</v>
      </c>
      <c r="N44">
        <v>0</v>
      </c>
      <c r="O44">
        <v>15</v>
      </c>
      <c r="P44">
        <v>0</v>
      </c>
      <c r="Q44">
        <v>83</v>
      </c>
      <c r="R44" t="s">
        <v>387</v>
      </c>
      <c r="S44" s="9" t="s">
        <v>564</v>
      </c>
      <c r="T44">
        <v>365</v>
      </c>
      <c r="U44">
        <v>76.8</v>
      </c>
      <c r="V44">
        <v>8</v>
      </c>
      <c r="W44">
        <v>0.94</v>
      </c>
      <c r="X44" t="s">
        <v>319</v>
      </c>
      <c r="Y44" t="s">
        <v>545</v>
      </c>
      <c r="Z44" s="15" t="s">
        <v>388</v>
      </c>
      <c r="AA44" s="15">
        <v>15555.78</v>
      </c>
      <c r="AB44" s="15">
        <v>4733.4880000000003</v>
      </c>
      <c r="AC44" s="15">
        <v>12253.61</v>
      </c>
      <c r="AD44" s="15">
        <v>4383.8770000000004</v>
      </c>
      <c r="AE44" s="15">
        <v>2.5887250000000001E-2</v>
      </c>
      <c r="AF44" s="15">
        <v>2.4823410000000001E-2</v>
      </c>
      <c r="AG44" s="15">
        <v>0.76</v>
      </c>
      <c r="AH44" s="15">
        <v>244.863</v>
      </c>
      <c r="AI44" s="15">
        <v>128.37</v>
      </c>
      <c r="AJ44" s="15">
        <v>145.905</v>
      </c>
      <c r="AK44" s="15">
        <v>37.457999999999998</v>
      </c>
      <c r="AL44" s="15">
        <v>86.938999999999993</v>
      </c>
      <c r="AM44" s="15">
        <v>51.429000000000002</v>
      </c>
    </row>
    <row r="45" spans="1:39">
      <c r="A45" t="s">
        <v>14</v>
      </c>
      <c r="B45" t="s">
        <v>176</v>
      </c>
      <c r="C45" t="s">
        <v>7</v>
      </c>
      <c r="D45" t="s">
        <v>9</v>
      </c>
      <c r="E45" t="s">
        <v>213</v>
      </c>
      <c r="F45" t="s">
        <v>227</v>
      </c>
      <c r="G45" t="s">
        <v>21</v>
      </c>
      <c r="H45">
        <v>28.527559791309098</v>
      </c>
      <c r="I45">
        <v>-81.361297232897897</v>
      </c>
      <c r="J45" t="s">
        <v>47</v>
      </c>
      <c r="K45" t="s">
        <v>11</v>
      </c>
      <c r="L45" t="s">
        <v>11</v>
      </c>
      <c r="M45" s="9" t="s">
        <v>439</v>
      </c>
      <c r="N45">
        <v>0</v>
      </c>
      <c r="O45">
        <v>15</v>
      </c>
      <c r="P45">
        <v>0</v>
      </c>
      <c r="Q45">
        <v>100</v>
      </c>
      <c r="R45" t="s">
        <v>393</v>
      </c>
      <c r="S45" s="9" t="s">
        <v>565</v>
      </c>
      <c r="T45">
        <v>180</v>
      </c>
      <c r="U45">
        <v>83.8</v>
      </c>
      <c r="V45">
        <v>11</v>
      </c>
      <c r="W45">
        <v>0.48</v>
      </c>
      <c r="X45" t="s">
        <v>319</v>
      </c>
      <c r="Y45" t="s">
        <v>545</v>
      </c>
      <c r="Z45" s="15" t="s">
        <v>394</v>
      </c>
      <c r="AA45" s="15">
        <v>4244.9369999999999</v>
      </c>
      <c r="AB45" s="15">
        <v>786.37990249999996</v>
      </c>
      <c r="AC45" s="15">
        <v>3509.2559999999999</v>
      </c>
      <c r="AD45" s="15">
        <v>1620.6750354000001</v>
      </c>
      <c r="AE45" s="15">
        <v>7.0853940000000004E-2</v>
      </c>
      <c r="AF45" s="15">
        <v>0.1013896</v>
      </c>
      <c r="AG45" s="15">
        <v>0.377</v>
      </c>
      <c r="AH45" s="15">
        <v>122.423</v>
      </c>
      <c r="AI45" s="15">
        <v>82.656000000000006</v>
      </c>
      <c r="AJ45" s="15">
        <v>29.678000000000001</v>
      </c>
      <c r="AK45" s="15">
        <v>47.323999999999998</v>
      </c>
      <c r="AL45" s="15">
        <v>7.1950000000000003</v>
      </c>
      <c r="AM45" s="15">
        <v>25.794</v>
      </c>
    </row>
    <row r="46" spans="1:39">
      <c r="A46" t="s">
        <v>14</v>
      </c>
      <c r="B46" t="s">
        <v>180</v>
      </c>
      <c r="C46" t="s">
        <v>7</v>
      </c>
      <c r="D46" t="s">
        <v>9</v>
      </c>
      <c r="E46" t="s">
        <v>210</v>
      </c>
      <c r="F46" t="s">
        <v>227</v>
      </c>
      <c r="G46" t="s">
        <v>22</v>
      </c>
      <c r="H46">
        <v>33.550180463363901</v>
      </c>
      <c r="I46">
        <v>-112.083897564918</v>
      </c>
      <c r="J46" t="s">
        <v>48</v>
      </c>
      <c r="K46" t="s">
        <v>28</v>
      </c>
      <c r="L46" t="s">
        <v>444</v>
      </c>
      <c r="M46" t="s">
        <v>514</v>
      </c>
      <c r="N46">
        <v>0</v>
      </c>
      <c r="O46">
        <v>15</v>
      </c>
      <c r="P46">
        <v>0</v>
      </c>
      <c r="Q46">
        <v>74</v>
      </c>
      <c r="R46" t="s">
        <v>399</v>
      </c>
      <c r="S46" s="9" t="s">
        <v>566</v>
      </c>
      <c r="T46">
        <v>105</v>
      </c>
      <c r="U46">
        <v>52.2</v>
      </c>
      <c r="V46">
        <v>8</v>
      </c>
      <c r="W46">
        <v>0.91</v>
      </c>
      <c r="X46" t="s">
        <v>319</v>
      </c>
      <c r="Y46" t="s">
        <v>99</v>
      </c>
      <c r="Z46" s="15"/>
      <c r="AA46" s="15"/>
      <c r="AB46" s="15"/>
      <c r="AC46" s="15"/>
      <c r="AD46" s="15"/>
      <c r="AE46" s="15"/>
      <c r="AF46" s="15"/>
      <c r="AG46" s="15"/>
      <c r="AH46" s="15"/>
      <c r="AI46" s="15"/>
      <c r="AJ46" s="15"/>
      <c r="AK46" s="15"/>
      <c r="AL46" s="15"/>
      <c r="AM46" s="15"/>
    </row>
    <row r="47" spans="1:39">
      <c r="A47" s="9" t="s">
        <v>14</v>
      </c>
      <c r="B47" s="9" t="s">
        <v>201</v>
      </c>
      <c r="C47" s="9" t="s">
        <v>7</v>
      </c>
      <c r="D47" s="9" t="s">
        <v>9</v>
      </c>
      <c r="E47" s="9" t="s">
        <v>212</v>
      </c>
      <c r="F47" s="9" t="s">
        <v>226</v>
      </c>
      <c r="G47" s="9" t="s">
        <v>23</v>
      </c>
      <c r="H47" s="9">
        <v>43.682632937635503</v>
      </c>
      <c r="I47" s="9">
        <v>-70.281211857677306</v>
      </c>
      <c r="J47" s="9" t="s">
        <v>45</v>
      </c>
      <c r="K47" s="9" t="s">
        <v>448</v>
      </c>
      <c r="L47" s="9" t="s">
        <v>446</v>
      </c>
      <c r="M47" s="9" t="s">
        <v>439</v>
      </c>
      <c r="N47" s="9">
        <v>0</v>
      </c>
      <c r="O47" s="9">
        <v>15</v>
      </c>
      <c r="P47" s="9">
        <v>0</v>
      </c>
      <c r="Q47" s="9">
        <v>93</v>
      </c>
      <c r="R47" s="9" t="s">
        <v>404</v>
      </c>
      <c r="S47" s="9" t="s">
        <v>567</v>
      </c>
      <c r="T47" s="9">
        <v>96.9</v>
      </c>
      <c r="U47" s="9">
        <v>32.6</v>
      </c>
      <c r="V47" s="9">
        <v>8</v>
      </c>
      <c r="W47" s="9">
        <v>0.78</v>
      </c>
      <c r="X47" t="s">
        <v>319</v>
      </c>
      <c r="Y47" t="s">
        <v>545</v>
      </c>
      <c r="Z47" s="15" t="s">
        <v>405</v>
      </c>
      <c r="AA47" s="15">
        <v>4837.1808423000002</v>
      </c>
      <c r="AB47" s="15">
        <v>233.43772877000001</v>
      </c>
      <c r="AC47" s="15">
        <v>2653.1299783999998</v>
      </c>
      <c r="AD47" s="15">
        <v>557.92140201999996</v>
      </c>
      <c r="AE47" s="15">
        <v>0.13848469999999999</v>
      </c>
      <c r="AF47" s="15">
        <v>9.6068780000000006E-2</v>
      </c>
      <c r="AG47" s="15">
        <v>0.82</v>
      </c>
      <c r="AH47" s="15">
        <v>91.988</v>
      </c>
      <c r="AI47" s="15">
        <v>32.469000000000001</v>
      </c>
      <c r="AJ47" s="15">
        <v>5.766</v>
      </c>
      <c r="AK47" s="15">
        <v>12.773</v>
      </c>
      <c r="AL47" s="15">
        <v>0.36099999999999999</v>
      </c>
      <c r="AM47" s="15">
        <v>1.4930000000000001</v>
      </c>
    </row>
    <row r="48" spans="1:39">
      <c r="A48" t="s">
        <v>14</v>
      </c>
      <c r="B48" t="s">
        <v>181</v>
      </c>
      <c r="C48" t="s">
        <v>7</v>
      </c>
      <c r="D48" t="s">
        <v>9</v>
      </c>
      <c r="E48" s="9" t="s">
        <v>214</v>
      </c>
      <c r="F48" s="9" t="s">
        <v>226</v>
      </c>
      <c r="G48" t="s">
        <v>24</v>
      </c>
      <c r="H48">
        <v>37.748178496423897</v>
      </c>
      <c r="I48">
        <v>-122.429706277874</v>
      </c>
      <c r="J48" t="s">
        <v>51</v>
      </c>
      <c r="K48" t="s">
        <v>52</v>
      </c>
      <c r="L48" t="s">
        <v>445</v>
      </c>
      <c r="M48" s="9" t="s">
        <v>439</v>
      </c>
      <c r="N48">
        <v>0</v>
      </c>
      <c r="O48">
        <v>15</v>
      </c>
      <c r="P48">
        <v>0</v>
      </c>
      <c r="Q48">
        <v>83</v>
      </c>
      <c r="R48" t="s">
        <v>410</v>
      </c>
      <c r="S48" s="9" t="s">
        <v>568</v>
      </c>
      <c r="T48">
        <v>359</v>
      </c>
      <c r="U48">
        <v>94</v>
      </c>
      <c r="V48">
        <v>10</v>
      </c>
      <c r="W48">
        <v>0.72</v>
      </c>
      <c r="X48" t="s">
        <v>319</v>
      </c>
      <c r="Y48" t="s">
        <v>545</v>
      </c>
      <c r="Z48" s="15" t="s">
        <v>411</v>
      </c>
      <c r="AA48" s="15">
        <v>6264.8027253</v>
      </c>
      <c r="AB48" s="15">
        <v>896.96060069999999</v>
      </c>
      <c r="AC48" s="15">
        <v>6280.5852158999996</v>
      </c>
      <c r="AD48" s="15">
        <v>2474.7620264000002</v>
      </c>
      <c r="AE48" s="15">
        <v>0.23772160000000001</v>
      </c>
      <c r="AF48" s="15">
        <v>0.33590910000000002</v>
      </c>
      <c r="AG48" s="15">
        <v>1</v>
      </c>
      <c r="AH48">
        <v>138.566</v>
      </c>
      <c r="AI48">
        <v>254.85400000000001</v>
      </c>
      <c r="AJ48">
        <v>1.194</v>
      </c>
      <c r="AK48">
        <v>10.179</v>
      </c>
      <c r="AL48">
        <v>0.01</v>
      </c>
      <c r="AM48">
        <v>0.157</v>
      </c>
    </row>
    <row r="49" spans="1:39">
      <c r="A49" t="s">
        <v>14</v>
      </c>
      <c r="B49" t="s">
        <v>183</v>
      </c>
      <c r="C49" t="s">
        <v>7</v>
      </c>
      <c r="D49" t="s">
        <v>9</v>
      </c>
      <c r="E49" s="9" t="s">
        <v>214</v>
      </c>
      <c r="F49" s="9" t="s">
        <v>226</v>
      </c>
      <c r="G49" t="s">
        <v>25</v>
      </c>
      <c r="H49">
        <v>47.611091594514299</v>
      </c>
      <c r="I49">
        <v>-122.31048811436</v>
      </c>
      <c r="J49" t="s">
        <v>42</v>
      </c>
      <c r="K49" t="s">
        <v>43</v>
      </c>
      <c r="L49" t="s">
        <v>445</v>
      </c>
      <c r="M49" s="9" t="s">
        <v>439</v>
      </c>
      <c r="N49">
        <v>0</v>
      </c>
      <c r="O49">
        <v>15</v>
      </c>
      <c r="P49">
        <v>0</v>
      </c>
      <c r="Q49">
        <v>83</v>
      </c>
      <c r="R49" t="s">
        <v>420</v>
      </c>
      <c r="S49" s="9" t="s">
        <v>569</v>
      </c>
      <c r="T49">
        <v>105</v>
      </c>
      <c r="U49">
        <v>54.8</v>
      </c>
      <c r="V49">
        <v>10</v>
      </c>
      <c r="W49">
        <v>0.64</v>
      </c>
      <c r="X49" t="s">
        <v>319</v>
      </c>
      <c r="Y49" t="s">
        <v>545</v>
      </c>
      <c r="Z49" s="15" t="s">
        <v>421</v>
      </c>
      <c r="AA49" s="15">
        <v>6194.6149999999998</v>
      </c>
      <c r="AB49" s="15">
        <v>791.66210000000001</v>
      </c>
      <c r="AC49" s="15">
        <v>3750.723</v>
      </c>
      <c r="AD49" s="15">
        <v>1091.528</v>
      </c>
      <c r="AE49" s="15">
        <v>3.9562689999999998E-2</v>
      </c>
      <c r="AF49" s="15">
        <v>2.9515570000000001E-2</v>
      </c>
      <c r="AG49" s="15">
        <v>0.63</v>
      </c>
      <c r="AH49" s="15">
        <v>99.903999999999996</v>
      </c>
      <c r="AI49" s="15">
        <v>49.42</v>
      </c>
      <c r="AJ49" s="15">
        <v>45.283999999999999</v>
      </c>
      <c r="AK49" s="15">
        <v>15.523999999999999</v>
      </c>
      <c r="AL49" s="15">
        <v>20.526</v>
      </c>
      <c r="AM49" s="15">
        <v>17.015999999999998</v>
      </c>
    </row>
    <row r="50" spans="1:39">
      <c r="A50" t="s">
        <v>14</v>
      </c>
      <c r="B50" t="s">
        <v>178</v>
      </c>
      <c r="C50" t="s">
        <v>7</v>
      </c>
      <c r="D50" t="s">
        <v>9</v>
      </c>
      <c r="E50" s="9" t="s">
        <v>215</v>
      </c>
      <c r="F50" s="9" t="s">
        <v>227</v>
      </c>
      <c r="G50" t="s">
        <v>37</v>
      </c>
      <c r="H50">
        <v>37.721871761637303</v>
      </c>
      <c r="I50">
        <v>-97.288554689402005</v>
      </c>
      <c r="J50" t="s">
        <v>46</v>
      </c>
      <c r="K50" t="s">
        <v>447</v>
      </c>
      <c r="L50" t="s">
        <v>512</v>
      </c>
      <c r="M50" s="9" t="s">
        <v>517</v>
      </c>
      <c r="N50">
        <v>0</v>
      </c>
      <c r="O50">
        <v>15</v>
      </c>
      <c r="P50">
        <v>0</v>
      </c>
      <c r="Q50">
        <v>93</v>
      </c>
      <c r="R50" t="s">
        <v>422</v>
      </c>
      <c r="S50" s="9" t="s">
        <v>570</v>
      </c>
      <c r="T50">
        <v>190</v>
      </c>
      <c r="U50">
        <v>34.799999999999997</v>
      </c>
      <c r="V50">
        <v>9</v>
      </c>
      <c r="W50">
        <v>0.9</v>
      </c>
      <c r="X50" t="s">
        <v>319</v>
      </c>
      <c r="Y50" t="s">
        <v>545</v>
      </c>
      <c r="Z50" s="15" t="s">
        <v>423</v>
      </c>
      <c r="AA50" s="15">
        <v>5471.9782800000003</v>
      </c>
      <c r="AB50" s="15">
        <v>161.54946591000001</v>
      </c>
      <c r="AC50" s="15">
        <v>4959.4664878000003</v>
      </c>
      <c r="AD50" s="15">
        <v>358.57869993000003</v>
      </c>
      <c r="AE50" s="15">
        <v>0.15916259999999999</v>
      </c>
      <c r="AF50" s="15">
        <v>4.1482310000000001E-2</v>
      </c>
      <c r="AG50" s="15">
        <v>0.97</v>
      </c>
      <c r="AH50" s="15">
        <v>160.709</v>
      </c>
      <c r="AI50" s="15">
        <v>24.824999999999999</v>
      </c>
      <c r="AJ50" s="15">
        <v>6.6619999999999999</v>
      </c>
      <c r="AK50" s="15">
        <v>6.46</v>
      </c>
      <c r="AL50" s="15">
        <v>0.27600000000000002</v>
      </c>
      <c r="AM50" s="15">
        <v>0.497</v>
      </c>
    </row>
    <row r="51" spans="1:39">
      <c r="A51" t="s">
        <v>14</v>
      </c>
      <c r="B51" t="s">
        <v>182</v>
      </c>
      <c r="C51" t="s">
        <v>7</v>
      </c>
      <c r="D51" t="s">
        <v>9</v>
      </c>
      <c r="E51" s="9" t="s">
        <v>212</v>
      </c>
      <c r="F51" s="9" t="s">
        <v>226</v>
      </c>
      <c r="G51" t="s">
        <v>26</v>
      </c>
      <c r="H51">
        <v>40.805317560084902</v>
      </c>
      <c r="I51">
        <v>-81.939523406262097</v>
      </c>
      <c r="J51" t="s">
        <v>46</v>
      </c>
      <c r="K51" t="s">
        <v>447</v>
      </c>
      <c r="L51" t="s">
        <v>512</v>
      </c>
      <c r="M51" s="9" t="s">
        <v>517</v>
      </c>
      <c r="N51">
        <v>0</v>
      </c>
      <c r="O51">
        <v>15</v>
      </c>
      <c r="P51">
        <v>0</v>
      </c>
      <c r="Q51">
        <v>100</v>
      </c>
      <c r="R51" t="s">
        <v>428</v>
      </c>
      <c r="S51" s="9" t="s">
        <v>571</v>
      </c>
      <c r="T51">
        <v>270</v>
      </c>
      <c r="U51">
        <v>67</v>
      </c>
      <c r="V51">
        <v>11</v>
      </c>
      <c r="W51">
        <v>0.81</v>
      </c>
      <c r="X51" t="s">
        <v>319</v>
      </c>
      <c r="Y51" t="s">
        <v>545</v>
      </c>
      <c r="Z51" s="15" t="s">
        <v>429</v>
      </c>
      <c r="AA51" s="15">
        <v>8041.5339999999997</v>
      </c>
      <c r="AB51" s="15">
        <v>1072.4739999999999</v>
      </c>
      <c r="AC51" s="15">
        <v>6686.9669999999996</v>
      </c>
      <c r="AD51" s="15">
        <v>1929.6379999999999</v>
      </c>
      <c r="AE51" s="15">
        <v>4.6447750000000003E-2</v>
      </c>
      <c r="AF51" s="15">
        <v>3.1614450000000002E-2</v>
      </c>
      <c r="AG51" s="15">
        <v>0.6</v>
      </c>
      <c r="AH51" s="15">
        <v>195.197</v>
      </c>
      <c r="AI51" s="15">
        <v>91.731999999999999</v>
      </c>
      <c r="AJ51" s="15">
        <v>77.096000000000004</v>
      </c>
      <c r="AK51" s="15">
        <v>30.01</v>
      </c>
      <c r="AL51" s="15">
        <v>30.45</v>
      </c>
      <c r="AM51" s="15">
        <v>28.594000000000001</v>
      </c>
    </row>
    <row r="52" spans="1:39">
      <c r="A52" t="s">
        <v>206</v>
      </c>
      <c r="B52" t="s">
        <v>205</v>
      </c>
      <c r="C52" t="s">
        <v>7</v>
      </c>
      <c r="D52" t="s">
        <v>92</v>
      </c>
      <c r="E52" t="s">
        <v>216</v>
      </c>
      <c r="F52" s="9" t="s">
        <v>226</v>
      </c>
      <c r="G52" t="s">
        <v>54</v>
      </c>
      <c r="H52">
        <v>35.954265415502903</v>
      </c>
      <c r="I52">
        <v>-79.742999317662694</v>
      </c>
      <c r="J52" t="s">
        <v>47</v>
      </c>
      <c r="K52" t="s">
        <v>11</v>
      </c>
      <c r="L52" t="s">
        <v>11</v>
      </c>
      <c r="M52" s="9" t="s">
        <v>439</v>
      </c>
      <c r="N52">
        <v>0</v>
      </c>
      <c r="O52">
        <v>7.6</v>
      </c>
      <c r="P52">
        <v>1</v>
      </c>
      <c r="Q52">
        <v>24</v>
      </c>
      <c r="R52" t="s">
        <v>121</v>
      </c>
      <c r="S52" s="9" t="s">
        <v>572</v>
      </c>
      <c r="T52">
        <v>63</v>
      </c>
      <c r="U52">
        <v>3.5</v>
      </c>
      <c r="V52">
        <v>209</v>
      </c>
      <c r="W52">
        <v>0.63</v>
      </c>
      <c r="X52" s="9" t="s">
        <v>543</v>
      </c>
      <c r="Y52" t="s">
        <v>545</v>
      </c>
      <c r="Z52" s="15" t="s">
        <v>495</v>
      </c>
      <c r="AA52" s="15">
        <v>1992.6659999999999</v>
      </c>
      <c r="AB52" s="15">
        <v>575.56059099000004</v>
      </c>
      <c r="AC52" s="15">
        <v>1650.298</v>
      </c>
      <c r="AD52" s="15">
        <v>546.91575613999998</v>
      </c>
      <c r="AE52" s="15">
        <v>3.7215860000000003E-2</v>
      </c>
      <c r="AF52" s="15">
        <v>1.8792369999999999E-2</v>
      </c>
      <c r="AG52" t="s">
        <v>232</v>
      </c>
    </row>
    <row r="53" spans="1:39">
      <c r="A53" t="s">
        <v>224</v>
      </c>
      <c r="B53" t="s">
        <v>225</v>
      </c>
      <c r="C53" t="s">
        <v>7</v>
      </c>
      <c r="D53" t="s">
        <v>8</v>
      </c>
      <c r="E53" t="s">
        <v>210</v>
      </c>
      <c r="F53" s="9" t="s">
        <v>227</v>
      </c>
      <c r="G53" t="s">
        <v>54</v>
      </c>
      <c r="H53">
        <v>35.954265415502903</v>
      </c>
      <c r="I53">
        <v>-79.742999317662694</v>
      </c>
      <c r="J53" t="s">
        <v>47</v>
      </c>
      <c r="K53" t="s">
        <v>11</v>
      </c>
      <c r="L53" t="s">
        <v>11</v>
      </c>
      <c r="M53" s="9" t="s">
        <v>439</v>
      </c>
      <c r="N53">
        <v>0</v>
      </c>
      <c r="O53">
        <v>15</v>
      </c>
      <c r="P53">
        <v>2</v>
      </c>
      <c r="Q53">
        <v>100</v>
      </c>
      <c r="R53" t="s">
        <v>208</v>
      </c>
      <c r="S53" s="9" t="s">
        <v>573</v>
      </c>
      <c r="T53">
        <v>67</v>
      </c>
      <c r="U53">
        <v>10</v>
      </c>
      <c r="V53">
        <v>36</v>
      </c>
      <c r="W53">
        <v>0.57999999999999996</v>
      </c>
      <c r="X53" t="s">
        <v>297</v>
      </c>
      <c r="Y53" t="s">
        <v>545</v>
      </c>
      <c r="Z53" s="15" t="s">
        <v>496</v>
      </c>
      <c r="AA53">
        <v>3090.3400750000001</v>
      </c>
      <c r="AB53">
        <v>119.9069992</v>
      </c>
      <c r="AC53">
        <v>2363.9814502999998</v>
      </c>
      <c r="AD53">
        <v>473.7441723</v>
      </c>
      <c r="AE53">
        <v>0.1171647</v>
      </c>
      <c r="AF53">
        <v>3.6829800000000003E-2</v>
      </c>
      <c r="AG53" s="15">
        <v>0.56000000000000005</v>
      </c>
      <c r="AH53" s="15">
        <v>42.332000000000001</v>
      </c>
      <c r="AI53" s="15">
        <v>2.5089999999999999</v>
      </c>
      <c r="AK53" s="15"/>
      <c r="AL53" s="15"/>
      <c r="AM53" s="15"/>
    </row>
    <row r="54" spans="1:39" s="9" customFormat="1">
      <c r="A54" s="9" t="s">
        <v>56</v>
      </c>
      <c r="B54" s="9" t="s">
        <v>193</v>
      </c>
      <c r="C54" s="9" t="s">
        <v>7</v>
      </c>
      <c r="D54" s="9" t="s">
        <v>9</v>
      </c>
      <c r="E54" s="9" t="s">
        <v>231</v>
      </c>
      <c r="F54" s="9" t="s">
        <v>226</v>
      </c>
      <c r="G54" s="9" t="s">
        <v>57</v>
      </c>
      <c r="H54" s="9">
        <v>40.760778999999999</v>
      </c>
      <c r="I54" s="9">
        <v>-111.891047</v>
      </c>
      <c r="J54" s="9" t="s">
        <v>46</v>
      </c>
      <c r="K54" t="s">
        <v>447</v>
      </c>
      <c r="L54" t="s">
        <v>512</v>
      </c>
      <c r="M54" t="s">
        <v>516</v>
      </c>
      <c r="N54" s="9">
        <v>0</v>
      </c>
      <c r="O54" s="9">
        <v>40</v>
      </c>
      <c r="P54" s="9">
        <v>7</v>
      </c>
      <c r="Q54" s="9">
        <v>100</v>
      </c>
      <c r="R54" s="9" t="s">
        <v>434</v>
      </c>
      <c r="S54" s="9" t="s">
        <v>586</v>
      </c>
      <c r="T54" s="9">
        <v>72.989999999999995</v>
      </c>
      <c r="U54" s="9">
        <v>11.1</v>
      </c>
      <c r="V54" s="9">
        <v>38</v>
      </c>
      <c r="W54" s="9">
        <v>0.54700000000000004</v>
      </c>
      <c r="X54" s="9" t="s">
        <v>543</v>
      </c>
      <c r="Y54" s="9" t="s">
        <v>99</v>
      </c>
      <c r="Z54" s="18"/>
    </row>
    <row r="55" spans="1:39" s="9" customFormat="1">
      <c r="A55" t="s">
        <v>5</v>
      </c>
      <c r="B55" t="s">
        <v>195</v>
      </c>
      <c r="C55" t="s">
        <v>7</v>
      </c>
      <c r="D55" t="s">
        <v>89</v>
      </c>
      <c r="E55" s="9" t="s">
        <v>439</v>
      </c>
      <c r="F55" s="9" t="s">
        <v>226</v>
      </c>
      <c r="G55" t="s">
        <v>13</v>
      </c>
      <c r="H55">
        <v>34.0065014035291</v>
      </c>
      <c r="I55">
        <v>-118.322513670508</v>
      </c>
      <c r="J55" t="s">
        <v>51</v>
      </c>
      <c r="K55" t="s">
        <v>52</v>
      </c>
      <c r="L55" t="s">
        <v>445</v>
      </c>
      <c r="M55" t="s">
        <v>515</v>
      </c>
      <c r="N55">
        <v>0</v>
      </c>
      <c r="O55">
        <v>20</v>
      </c>
      <c r="P55">
        <v>2</v>
      </c>
      <c r="Q55">
        <v>33</v>
      </c>
      <c r="R55" t="s">
        <v>126</v>
      </c>
      <c r="S55" s="9" t="s">
        <v>585</v>
      </c>
      <c r="T55">
        <v>70</v>
      </c>
      <c r="U55">
        <v>37</v>
      </c>
      <c r="V55">
        <v>5</v>
      </c>
      <c r="W55">
        <v>0.69</v>
      </c>
      <c r="X55" t="s">
        <v>297</v>
      </c>
      <c r="Y55" s="9" t="s">
        <v>99</v>
      </c>
      <c r="Z55" s="18"/>
      <c r="AA55"/>
      <c r="AB55"/>
      <c r="AC55"/>
      <c r="AD55"/>
      <c r="AE55"/>
      <c r="AF55"/>
      <c r="AG55"/>
      <c r="AH55"/>
      <c r="AI55"/>
      <c r="AJ55"/>
      <c r="AK55"/>
      <c r="AL55"/>
      <c r="AM55"/>
    </row>
    <row r="56" spans="1:39">
      <c r="A56" t="s">
        <v>5</v>
      </c>
      <c r="B56" t="s">
        <v>194</v>
      </c>
      <c r="C56" t="s">
        <v>7</v>
      </c>
      <c r="D56" t="s">
        <v>9</v>
      </c>
      <c r="E56" s="9" t="s">
        <v>439</v>
      </c>
      <c r="F56" s="9" t="s">
        <v>226</v>
      </c>
      <c r="G56" t="s">
        <v>13</v>
      </c>
      <c r="H56">
        <v>34.0065014035291</v>
      </c>
      <c r="I56">
        <v>-118.322513670508</v>
      </c>
      <c r="J56" t="s">
        <v>51</v>
      </c>
      <c r="K56" t="s">
        <v>52</v>
      </c>
      <c r="L56" t="s">
        <v>445</v>
      </c>
      <c r="M56" t="s">
        <v>515</v>
      </c>
      <c r="N56">
        <v>0</v>
      </c>
      <c r="O56">
        <v>20</v>
      </c>
      <c r="P56">
        <v>2</v>
      </c>
      <c r="Q56">
        <v>33</v>
      </c>
      <c r="R56" t="s">
        <v>125</v>
      </c>
      <c r="S56" s="9" t="s">
        <v>584</v>
      </c>
      <c r="T56">
        <v>143</v>
      </c>
      <c r="U56">
        <v>20</v>
      </c>
      <c r="V56">
        <v>4</v>
      </c>
      <c r="W56">
        <v>0.998</v>
      </c>
      <c r="X56" t="s">
        <v>173</v>
      </c>
      <c r="Y56" s="9" t="s">
        <v>99</v>
      </c>
      <c r="Z56" s="18"/>
    </row>
    <row r="57" spans="1:39">
      <c r="A57" t="s">
        <v>468</v>
      </c>
      <c r="B57" t="s">
        <v>469</v>
      </c>
      <c r="C57" t="s">
        <v>7</v>
      </c>
      <c r="D57" t="s">
        <v>9</v>
      </c>
      <c r="E57" s="9" t="s">
        <v>439</v>
      </c>
      <c r="F57" s="9" t="s">
        <v>226</v>
      </c>
      <c r="G57" s="9" t="s">
        <v>75</v>
      </c>
      <c r="H57">
        <v>39.250183999999997</v>
      </c>
      <c r="I57">
        <v>-76.500609999999995</v>
      </c>
      <c r="J57" t="s">
        <v>47</v>
      </c>
      <c r="K57" t="s">
        <v>11</v>
      </c>
      <c r="L57" t="s">
        <v>11</v>
      </c>
      <c r="M57" t="s">
        <v>439</v>
      </c>
      <c r="N57">
        <v>0</v>
      </c>
      <c r="O57">
        <v>30</v>
      </c>
      <c r="P57">
        <v>4</v>
      </c>
      <c r="Q57">
        <v>122</v>
      </c>
      <c r="R57" t="s">
        <v>480</v>
      </c>
      <c r="S57" s="9" t="s">
        <v>583</v>
      </c>
      <c r="T57">
        <v>106</v>
      </c>
      <c r="U57" s="3">
        <v>30</v>
      </c>
      <c r="V57">
        <v>21</v>
      </c>
      <c r="W57">
        <v>0.4</v>
      </c>
      <c r="X57" t="s">
        <v>223</v>
      </c>
      <c r="Y57" s="9" t="s">
        <v>99</v>
      </c>
      <c r="Z57" s="18"/>
    </row>
    <row r="58" spans="1:39">
      <c r="A58" t="s">
        <v>468</v>
      </c>
      <c r="B58" t="s">
        <v>470</v>
      </c>
      <c r="C58" t="s">
        <v>7</v>
      </c>
      <c r="D58" t="s">
        <v>9</v>
      </c>
      <c r="E58" s="9" t="s">
        <v>439</v>
      </c>
      <c r="F58" s="9" t="s">
        <v>226</v>
      </c>
      <c r="G58" s="9" t="s">
        <v>475</v>
      </c>
      <c r="H58">
        <v>42.322451993829603</v>
      </c>
      <c r="I58">
        <v>-71.071909110293205</v>
      </c>
      <c r="J58" t="s">
        <v>46</v>
      </c>
      <c r="K58" t="s">
        <v>447</v>
      </c>
      <c r="L58" t="s">
        <v>512</v>
      </c>
      <c r="M58" t="s">
        <v>439</v>
      </c>
      <c r="N58">
        <v>0</v>
      </c>
      <c r="O58">
        <v>30</v>
      </c>
      <c r="P58">
        <v>10</v>
      </c>
      <c r="Q58">
        <v>170</v>
      </c>
      <c r="R58" t="s">
        <v>481</v>
      </c>
      <c r="S58" s="9" t="s">
        <v>582</v>
      </c>
      <c r="T58">
        <v>86.4</v>
      </c>
      <c r="U58">
        <v>24.8</v>
      </c>
      <c r="V58">
        <v>30</v>
      </c>
      <c r="W58">
        <v>0.3</v>
      </c>
      <c r="X58" t="s">
        <v>223</v>
      </c>
      <c r="Y58" s="9" t="s">
        <v>99</v>
      </c>
      <c r="Z58" s="18"/>
    </row>
    <row r="59" spans="1:39">
      <c r="A59" t="s">
        <v>468</v>
      </c>
      <c r="B59" t="s">
        <v>471</v>
      </c>
      <c r="C59" t="s">
        <v>7</v>
      </c>
      <c r="D59" t="s">
        <v>9</v>
      </c>
      <c r="E59" s="9" t="s">
        <v>439</v>
      </c>
      <c r="F59" s="9" t="s">
        <v>226</v>
      </c>
      <c r="G59" t="s">
        <v>13</v>
      </c>
      <c r="H59">
        <v>34.0065014035291</v>
      </c>
      <c r="I59">
        <v>-118.322513670508</v>
      </c>
      <c r="J59" t="s">
        <v>51</v>
      </c>
      <c r="K59" t="s">
        <v>52</v>
      </c>
      <c r="L59" t="s">
        <v>445</v>
      </c>
      <c r="M59" t="s">
        <v>515</v>
      </c>
      <c r="N59">
        <v>0</v>
      </c>
      <c r="O59">
        <v>30</v>
      </c>
      <c r="P59">
        <v>7</v>
      </c>
      <c r="Q59">
        <v>81</v>
      </c>
      <c r="R59" t="s">
        <v>488</v>
      </c>
      <c r="S59" s="9" t="s">
        <v>581</v>
      </c>
      <c r="T59">
        <v>53</v>
      </c>
      <c r="U59">
        <v>21.6</v>
      </c>
      <c r="V59">
        <v>21</v>
      </c>
      <c r="W59">
        <v>0.24</v>
      </c>
      <c r="X59" t="s">
        <v>223</v>
      </c>
      <c r="Y59" s="9" t="s">
        <v>545</v>
      </c>
      <c r="Z59" s="18" t="s">
        <v>487</v>
      </c>
      <c r="AA59" s="15">
        <v>6893.0379999999996</v>
      </c>
      <c r="AB59" s="15">
        <v>984.25969999999995</v>
      </c>
      <c r="AC59" s="15">
        <v>7357.4040000000005</v>
      </c>
      <c r="AD59" s="15">
        <v>4175.8900000000003</v>
      </c>
      <c r="AE59" s="15">
        <v>5.8842029999999997E-2</v>
      </c>
      <c r="AF59" s="15">
        <v>5.6813420000000003E-2</v>
      </c>
      <c r="AG59">
        <v>0.34</v>
      </c>
      <c r="AH59">
        <v>240.36099999999999</v>
      </c>
      <c r="AI59">
        <v>221.07</v>
      </c>
      <c r="AJ59">
        <v>74.091999999999999</v>
      </c>
      <c r="AK59">
        <v>32.110999999999997</v>
      </c>
      <c r="AL59">
        <v>22.838999999999999</v>
      </c>
      <c r="AM59">
        <v>33.191000000000003</v>
      </c>
    </row>
    <row r="60" spans="1:39">
      <c r="A60" t="s">
        <v>468</v>
      </c>
      <c r="B60" t="s">
        <v>474</v>
      </c>
      <c r="C60" t="s">
        <v>7</v>
      </c>
      <c r="D60" t="s">
        <v>9</v>
      </c>
      <c r="E60" s="9" t="s">
        <v>439</v>
      </c>
      <c r="F60" s="9" t="s">
        <v>227</v>
      </c>
      <c r="G60" s="9" t="s">
        <v>476</v>
      </c>
      <c r="H60">
        <v>25.7615341128549</v>
      </c>
      <c r="I60">
        <v>-80.236153706736502</v>
      </c>
      <c r="J60" t="s">
        <v>477</v>
      </c>
      <c r="K60" t="s">
        <v>478</v>
      </c>
      <c r="L60" t="s">
        <v>479</v>
      </c>
      <c r="M60" t="s">
        <v>513</v>
      </c>
      <c r="N60">
        <v>0</v>
      </c>
      <c r="O60">
        <v>30</v>
      </c>
      <c r="P60">
        <v>8</v>
      </c>
      <c r="Q60">
        <v>62</v>
      </c>
      <c r="R60" t="s">
        <v>484</v>
      </c>
      <c r="S60" s="9" t="s">
        <v>580</v>
      </c>
      <c r="T60">
        <v>117</v>
      </c>
      <c r="U60">
        <v>177.8</v>
      </c>
      <c r="V60">
        <v>17</v>
      </c>
      <c r="W60">
        <v>0.06</v>
      </c>
      <c r="X60" t="s">
        <v>223</v>
      </c>
      <c r="Y60" s="9" t="s">
        <v>545</v>
      </c>
      <c r="Z60" s="18" t="s">
        <v>485</v>
      </c>
      <c r="AA60" s="15">
        <v>12506.05</v>
      </c>
      <c r="AB60" s="15">
        <v>3497.22</v>
      </c>
      <c r="AC60" s="15">
        <v>19781.03</v>
      </c>
      <c r="AD60" s="15">
        <v>40481.33</v>
      </c>
      <c r="AE60" s="15">
        <v>9.9359980000000001E-2</v>
      </c>
      <c r="AF60" s="15">
        <v>0.24528829999999999</v>
      </c>
      <c r="AG60" s="14">
        <v>0.1</v>
      </c>
      <c r="AH60" s="14">
        <v>727.68899999999996</v>
      </c>
      <c r="AI60" s="14">
        <v>1499.941</v>
      </c>
      <c r="AJ60" s="14">
        <v>99.751000000000005</v>
      </c>
      <c r="AK60" s="14">
        <v>305.86700000000002</v>
      </c>
      <c r="AL60" s="14">
        <v>13.673999999999999</v>
      </c>
      <c r="AM60" s="14">
        <v>108.26300000000001</v>
      </c>
    </row>
    <row r="61" spans="1:39">
      <c r="A61" t="s">
        <v>468</v>
      </c>
      <c r="B61" t="s">
        <v>472</v>
      </c>
      <c r="C61" t="s">
        <v>7</v>
      </c>
      <c r="D61" t="s">
        <v>9</v>
      </c>
      <c r="E61" s="9" t="s">
        <v>439</v>
      </c>
      <c r="F61" s="9" t="s">
        <v>226</v>
      </c>
      <c r="G61" s="9" t="s">
        <v>20</v>
      </c>
      <c r="H61">
        <v>44.9429152091258</v>
      </c>
      <c r="I61">
        <v>-93.293760568428397</v>
      </c>
      <c r="J61" t="s">
        <v>45</v>
      </c>
      <c r="K61" s="9" t="s">
        <v>448</v>
      </c>
      <c r="L61" s="9" t="s">
        <v>446</v>
      </c>
      <c r="M61" s="9" t="s">
        <v>439</v>
      </c>
      <c r="N61">
        <v>0</v>
      </c>
      <c r="O61">
        <v>30</v>
      </c>
      <c r="P61">
        <v>6</v>
      </c>
      <c r="Q61">
        <v>101</v>
      </c>
      <c r="R61" t="s">
        <v>483</v>
      </c>
      <c r="S61" s="9" t="s">
        <v>579</v>
      </c>
      <c r="T61">
        <v>-12.9</v>
      </c>
      <c r="U61">
        <v>34.200000000000003</v>
      </c>
      <c r="V61">
        <v>20</v>
      </c>
      <c r="W61">
        <v>0.01</v>
      </c>
      <c r="X61" t="s">
        <v>223</v>
      </c>
      <c r="Y61" s="9" t="s">
        <v>539</v>
      </c>
      <c r="Z61" s="18"/>
      <c r="AA61" s="15"/>
      <c r="AB61" s="15"/>
      <c r="AC61" s="15"/>
      <c r="AD61" s="15"/>
      <c r="AE61" s="15"/>
      <c r="AF61" s="15"/>
    </row>
    <row r="62" spans="1:39">
      <c r="A62" t="s">
        <v>468</v>
      </c>
      <c r="B62" t="s">
        <v>473</v>
      </c>
      <c r="C62" t="s">
        <v>7</v>
      </c>
      <c r="D62" t="s">
        <v>9</v>
      </c>
      <c r="E62" s="9" t="s">
        <v>439</v>
      </c>
      <c r="F62" s="9" t="s">
        <v>227</v>
      </c>
      <c r="G62" s="9" t="s">
        <v>22</v>
      </c>
      <c r="H62">
        <v>33.404836585697801</v>
      </c>
      <c r="I62">
        <v>-112.086826125695</v>
      </c>
      <c r="J62" t="s">
        <v>48</v>
      </c>
      <c r="K62" t="s">
        <v>28</v>
      </c>
      <c r="L62" t="s">
        <v>444</v>
      </c>
      <c r="M62" t="s">
        <v>514</v>
      </c>
      <c r="N62">
        <v>0</v>
      </c>
      <c r="O62">
        <v>30</v>
      </c>
      <c r="P62">
        <v>7</v>
      </c>
      <c r="Q62">
        <v>59</v>
      </c>
      <c r="R62" t="s">
        <v>482</v>
      </c>
      <c r="S62" s="9" t="s">
        <v>578</v>
      </c>
      <c r="T62">
        <v>16.2</v>
      </c>
      <c r="U62">
        <v>17.5</v>
      </c>
      <c r="V62">
        <v>10</v>
      </c>
      <c r="W62">
        <v>0.1</v>
      </c>
      <c r="Y62" s="9" t="s">
        <v>545</v>
      </c>
      <c r="Z62" s="18" t="s">
        <v>486</v>
      </c>
      <c r="AA62" s="15">
        <v>2757.5079999999998</v>
      </c>
      <c r="AB62" s="15">
        <v>369.32639999999998</v>
      </c>
      <c r="AC62" s="15">
        <v>15054.12</v>
      </c>
      <c r="AD62" s="15">
        <v>49205.32</v>
      </c>
      <c r="AE62" s="15">
        <v>0.34377819999999998</v>
      </c>
      <c r="AF62" s="15">
        <v>0.44909949999999998</v>
      </c>
      <c r="AG62">
        <v>0.25</v>
      </c>
      <c r="AH62">
        <v>166.31200000000001</v>
      </c>
      <c r="AI62">
        <v>109.142</v>
      </c>
      <c r="AJ62">
        <v>0.17199999999999999</v>
      </c>
      <c r="AK62">
        <v>1.544</v>
      </c>
      <c r="AL62">
        <v>0</v>
      </c>
      <c r="AM62">
        <v>3.0000000000000001E-3</v>
      </c>
    </row>
    <row r="63" spans="1:39">
      <c r="A63" t="s">
        <v>131</v>
      </c>
      <c r="B63" t="s">
        <v>134</v>
      </c>
      <c r="C63" t="s">
        <v>7</v>
      </c>
      <c r="D63" t="s">
        <v>8</v>
      </c>
      <c r="E63" t="s">
        <v>210</v>
      </c>
      <c r="F63" t="s">
        <v>227</v>
      </c>
      <c r="G63" t="s">
        <v>136</v>
      </c>
      <c r="H63">
        <v>35.947297700166601</v>
      </c>
      <c r="I63">
        <v>-78.951867998147605</v>
      </c>
      <c r="J63" t="s">
        <v>47</v>
      </c>
      <c r="K63" t="s">
        <v>11</v>
      </c>
      <c r="L63" t="s">
        <v>11</v>
      </c>
      <c r="M63" t="s">
        <v>513</v>
      </c>
      <c r="N63">
        <v>0</v>
      </c>
      <c r="O63">
        <v>10</v>
      </c>
      <c r="P63">
        <v>10</v>
      </c>
      <c r="Q63">
        <v>80</v>
      </c>
      <c r="R63" t="s">
        <v>162</v>
      </c>
      <c r="S63" s="9" t="s">
        <v>577</v>
      </c>
      <c r="T63" s="7">
        <v>15.4</v>
      </c>
      <c r="U63">
        <f>10*T63</f>
        <v>154</v>
      </c>
      <c r="V63">
        <v>2</v>
      </c>
      <c r="W63">
        <v>1</v>
      </c>
      <c r="X63" s="8" t="s">
        <v>132</v>
      </c>
      <c r="Y63" s="9" t="s">
        <v>542</v>
      </c>
      <c r="Z63" s="18"/>
    </row>
    <row r="64" spans="1:39" s="9" customFormat="1">
      <c r="A64" t="s">
        <v>131</v>
      </c>
      <c r="B64" t="s">
        <v>133</v>
      </c>
      <c r="C64" t="s">
        <v>7</v>
      </c>
      <c r="D64" t="s">
        <v>8</v>
      </c>
      <c r="E64" t="s">
        <v>210</v>
      </c>
      <c r="F64" t="s">
        <v>227</v>
      </c>
      <c r="G64" t="s">
        <v>136</v>
      </c>
      <c r="H64">
        <v>35.947297700166601</v>
      </c>
      <c r="I64">
        <v>-78.951867998147605</v>
      </c>
      <c r="J64" t="s">
        <v>47</v>
      </c>
      <c r="K64" t="s">
        <v>11</v>
      </c>
      <c r="L64" t="s">
        <v>11</v>
      </c>
      <c r="M64" t="s">
        <v>513</v>
      </c>
      <c r="N64">
        <v>0</v>
      </c>
      <c r="O64">
        <v>10</v>
      </c>
      <c r="P64">
        <v>0</v>
      </c>
      <c r="Q64">
        <v>10</v>
      </c>
      <c r="R64" t="s">
        <v>135</v>
      </c>
      <c r="S64" s="9" t="s">
        <v>576</v>
      </c>
      <c r="T64" s="8">
        <v>-52</v>
      </c>
      <c r="U64">
        <f>T64*0.1*-1</f>
        <v>5.2</v>
      </c>
      <c r="V64">
        <v>2</v>
      </c>
      <c r="W64">
        <v>1</v>
      </c>
      <c r="X64" s="8" t="s">
        <v>132</v>
      </c>
      <c r="Y64" s="8" t="s">
        <v>539</v>
      </c>
      <c r="Z64" s="12"/>
      <c r="AA64" s="6"/>
      <c r="AB64" s="6"/>
      <c r="AC64" s="6"/>
      <c r="AD64" s="6"/>
      <c r="AE64" s="6"/>
      <c r="AF64" s="6"/>
      <c r="AG64" s="6"/>
      <c r="AH64" s="6"/>
      <c r="AI64" s="6"/>
      <c r="AJ64" s="6"/>
      <c r="AK64" s="6"/>
      <c r="AL64" s="6"/>
      <c r="AM64" s="6"/>
    </row>
    <row r="65" spans="25:26">
      <c r="Y65" s="4"/>
      <c r="Z65" s="4"/>
    </row>
    <row r="66" spans="25:26">
      <c r="Y66" s="4"/>
      <c r="Z66" s="4"/>
    </row>
  </sheetData>
  <sortState xmlns:xlrd2="http://schemas.microsoft.com/office/spreadsheetml/2017/richdata2" ref="A2:BB64">
    <sortCondition ref="A2:A64"/>
    <sortCondition ref="B2:B64"/>
  </sortState>
  <pageMargins left="0.7" right="0.7" top="0.75" bottom="0.75" header="0.3" footer="0.3"/>
  <pageSetup scale="22"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BB5DA-8723-49F7-9307-46D43F079904}">
  <dimension ref="A1:J175"/>
  <sheetViews>
    <sheetView workbookViewId="0">
      <pane ySplit="1" topLeftCell="A167" activePane="bottomLeft" state="frozen"/>
      <selection pane="bottomLeft" activeCell="D168" sqref="D168"/>
    </sheetView>
  </sheetViews>
  <sheetFormatPr defaultRowHeight="14.5"/>
  <cols>
    <col min="1" max="1" width="35.54296875" bestFit="1" customWidth="1"/>
    <col min="2" max="2" width="10.54296875" bestFit="1" customWidth="1"/>
    <col min="3" max="3" width="7.453125" customWidth="1"/>
    <col min="4" max="4" width="43.81640625" customWidth="1"/>
    <col min="5" max="5" width="9.81640625" bestFit="1" customWidth="1"/>
    <col min="6" max="6" width="12.81640625" bestFit="1" customWidth="1"/>
    <col min="7" max="7" width="7.1796875" customWidth="1"/>
  </cols>
  <sheetData>
    <row r="1" spans="1:8" ht="29">
      <c r="A1" s="1" t="s">
        <v>1</v>
      </c>
      <c r="B1" s="1" t="s">
        <v>440</v>
      </c>
      <c r="C1" s="1" t="s">
        <v>441</v>
      </c>
      <c r="D1" s="1" t="s">
        <v>116</v>
      </c>
      <c r="E1" s="1" t="s">
        <v>169</v>
      </c>
      <c r="F1" s="1" t="s">
        <v>170</v>
      </c>
      <c r="G1" s="1" t="s">
        <v>119</v>
      </c>
      <c r="H1" s="1" t="s">
        <v>120</v>
      </c>
    </row>
    <row r="2" spans="1:8">
      <c r="A2" t="s">
        <v>138</v>
      </c>
      <c r="B2">
        <v>0</v>
      </c>
      <c r="C2">
        <v>10</v>
      </c>
      <c r="D2" t="s">
        <v>253</v>
      </c>
      <c r="E2">
        <v>32</v>
      </c>
      <c r="G2">
        <v>12</v>
      </c>
    </row>
    <row r="3" spans="1:8">
      <c r="A3" t="s">
        <v>138</v>
      </c>
      <c r="B3">
        <v>10</v>
      </c>
      <c r="C3">
        <v>20</v>
      </c>
      <c r="D3" t="s">
        <v>254</v>
      </c>
      <c r="E3">
        <v>24</v>
      </c>
      <c r="G3">
        <v>12</v>
      </c>
    </row>
    <row r="4" spans="1:8">
      <c r="A4" t="s">
        <v>138</v>
      </c>
      <c r="B4">
        <v>20</v>
      </c>
      <c r="C4">
        <v>30</v>
      </c>
      <c r="D4" t="s">
        <v>255</v>
      </c>
      <c r="E4">
        <v>37</v>
      </c>
      <c r="G4">
        <v>12</v>
      </c>
    </row>
    <row r="5" spans="1:8">
      <c r="A5" t="s">
        <v>139</v>
      </c>
      <c r="B5">
        <v>0</v>
      </c>
      <c r="C5">
        <v>10</v>
      </c>
      <c r="D5" t="s">
        <v>250</v>
      </c>
      <c r="E5">
        <v>0</v>
      </c>
      <c r="G5">
        <v>12</v>
      </c>
    </row>
    <row r="6" spans="1:8">
      <c r="A6" t="s">
        <v>139</v>
      </c>
      <c r="B6">
        <v>10</v>
      </c>
      <c r="C6">
        <v>20</v>
      </c>
      <c r="D6" t="s">
        <v>251</v>
      </c>
      <c r="E6">
        <v>-21</v>
      </c>
      <c r="G6">
        <v>12</v>
      </c>
    </row>
    <row r="7" spans="1:8">
      <c r="A7" t="s">
        <v>139</v>
      </c>
      <c r="B7">
        <v>20</v>
      </c>
      <c r="C7">
        <v>30</v>
      </c>
      <c r="D7" t="s">
        <v>252</v>
      </c>
      <c r="E7">
        <v>21</v>
      </c>
      <c r="G7">
        <v>12</v>
      </c>
    </row>
    <row r="8" spans="1:8">
      <c r="A8" t="s">
        <v>140</v>
      </c>
      <c r="B8">
        <v>0</v>
      </c>
      <c r="C8">
        <v>10</v>
      </c>
      <c r="D8" t="s">
        <v>247</v>
      </c>
      <c r="E8">
        <v>12</v>
      </c>
      <c r="G8">
        <v>12</v>
      </c>
    </row>
    <row r="9" spans="1:8">
      <c r="A9" t="s">
        <v>140</v>
      </c>
      <c r="B9">
        <v>10</v>
      </c>
      <c r="C9">
        <v>20</v>
      </c>
      <c r="D9" t="s">
        <v>248</v>
      </c>
      <c r="E9">
        <v>-4</v>
      </c>
      <c r="G9">
        <v>12</v>
      </c>
    </row>
    <row r="10" spans="1:8">
      <c r="A10" t="s">
        <v>140</v>
      </c>
      <c r="B10">
        <v>20</v>
      </c>
      <c r="C10">
        <v>30</v>
      </c>
      <c r="D10" t="s">
        <v>249</v>
      </c>
      <c r="E10">
        <v>21</v>
      </c>
      <c r="G10">
        <v>12</v>
      </c>
    </row>
    <row r="11" spans="1:8">
      <c r="A11" t="s">
        <v>141</v>
      </c>
      <c r="B11">
        <v>0</v>
      </c>
      <c r="C11">
        <v>10</v>
      </c>
      <c r="D11" t="s">
        <v>256</v>
      </c>
      <c r="E11">
        <v>14</v>
      </c>
      <c r="G11">
        <v>12</v>
      </c>
    </row>
    <row r="12" spans="1:8">
      <c r="A12" t="s">
        <v>141</v>
      </c>
      <c r="B12">
        <v>10</v>
      </c>
      <c r="C12">
        <v>20</v>
      </c>
      <c r="D12" t="s">
        <v>257</v>
      </c>
      <c r="E12">
        <v>-2</v>
      </c>
      <c r="G12">
        <v>12</v>
      </c>
    </row>
    <row r="13" spans="1:8">
      <c r="A13" t="s">
        <v>141</v>
      </c>
      <c r="B13">
        <v>20</v>
      </c>
      <c r="C13">
        <v>30</v>
      </c>
      <c r="D13" t="s">
        <v>258</v>
      </c>
      <c r="E13">
        <v>-20</v>
      </c>
      <c r="G13">
        <v>12</v>
      </c>
    </row>
    <row r="14" spans="1:8">
      <c r="A14" t="s">
        <v>142</v>
      </c>
      <c r="B14">
        <v>0</v>
      </c>
      <c r="C14">
        <v>10</v>
      </c>
      <c r="D14" t="s">
        <v>259</v>
      </c>
      <c r="E14">
        <v>12</v>
      </c>
      <c r="G14">
        <v>12</v>
      </c>
    </row>
    <row r="15" spans="1:8">
      <c r="A15" t="s">
        <v>142</v>
      </c>
      <c r="B15">
        <v>10</v>
      </c>
      <c r="C15">
        <v>20</v>
      </c>
      <c r="D15" t="s">
        <v>260</v>
      </c>
      <c r="E15">
        <v>2</v>
      </c>
      <c r="G15">
        <v>12</v>
      </c>
    </row>
    <row r="16" spans="1:8">
      <c r="A16" t="s">
        <v>142</v>
      </c>
      <c r="B16">
        <v>20</v>
      </c>
      <c r="C16">
        <v>30</v>
      </c>
      <c r="D16" t="s">
        <v>261</v>
      </c>
      <c r="E16">
        <v>32</v>
      </c>
      <c r="G16">
        <v>12</v>
      </c>
    </row>
    <row r="17" spans="1:8">
      <c r="A17" t="s">
        <v>143</v>
      </c>
      <c r="B17">
        <v>0</v>
      </c>
      <c r="C17">
        <v>10</v>
      </c>
      <c r="D17" t="s">
        <v>262</v>
      </c>
      <c r="E17">
        <v>10</v>
      </c>
      <c r="G17">
        <v>12</v>
      </c>
    </row>
    <row r="18" spans="1:8">
      <c r="A18" t="s">
        <v>143</v>
      </c>
      <c r="B18">
        <v>10</v>
      </c>
      <c r="C18">
        <v>20</v>
      </c>
      <c r="D18" t="s">
        <v>263</v>
      </c>
      <c r="E18">
        <v>4</v>
      </c>
      <c r="G18">
        <v>12</v>
      </c>
    </row>
    <row r="19" spans="1:8">
      <c r="A19" t="s">
        <v>143</v>
      </c>
      <c r="B19">
        <v>20</v>
      </c>
      <c r="C19">
        <v>30</v>
      </c>
      <c r="D19" t="s">
        <v>264</v>
      </c>
      <c r="E19">
        <v>16</v>
      </c>
      <c r="G19">
        <v>12</v>
      </c>
    </row>
    <row r="20" spans="1:8">
      <c r="A20" t="s">
        <v>144</v>
      </c>
      <c r="B20">
        <v>0</v>
      </c>
      <c r="C20">
        <v>10</v>
      </c>
      <c r="D20" t="s">
        <v>265</v>
      </c>
      <c r="E20">
        <v>0</v>
      </c>
      <c r="G20">
        <v>12</v>
      </c>
    </row>
    <row r="21" spans="1:8">
      <c r="A21" t="s">
        <v>144</v>
      </c>
      <c r="B21">
        <v>10</v>
      </c>
      <c r="C21">
        <v>20</v>
      </c>
      <c r="D21" t="s">
        <v>266</v>
      </c>
      <c r="E21">
        <v>-21</v>
      </c>
      <c r="G21">
        <v>12</v>
      </c>
    </row>
    <row r="22" spans="1:8">
      <c r="A22" t="s">
        <v>144</v>
      </c>
      <c r="B22">
        <v>20</v>
      </c>
      <c r="C22">
        <v>30</v>
      </c>
      <c r="D22" t="s">
        <v>267</v>
      </c>
      <c r="E22">
        <v>21</v>
      </c>
      <c r="G22">
        <v>12</v>
      </c>
    </row>
    <row r="23" spans="1:8" s="12" customFormat="1">
      <c r="A23" t="s">
        <v>145</v>
      </c>
      <c r="B23">
        <v>0</v>
      </c>
      <c r="C23">
        <v>10</v>
      </c>
      <c r="D23" t="s">
        <v>248</v>
      </c>
      <c r="E23">
        <v>-4</v>
      </c>
      <c r="F23"/>
      <c r="G23">
        <v>12</v>
      </c>
      <c r="H23"/>
    </row>
    <row r="24" spans="1:8" s="12" customFormat="1">
      <c r="A24" t="s">
        <v>145</v>
      </c>
      <c r="B24">
        <v>10</v>
      </c>
      <c r="C24">
        <v>20</v>
      </c>
      <c r="D24" t="s">
        <v>268</v>
      </c>
      <c r="E24">
        <v>0</v>
      </c>
      <c r="F24"/>
      <c r="G24">
        <v>12</v>
      </c>
      <c r="H24"/>
    </row>
    <row r="25" spans="1:8" s="12" customFormat="1">
      <c r="A25" t="s">
        <v>145</v>
      </c>
      <c r="B25">
        <v>20</v>
      </c>
      <c r="C25">
        <v>30</v>
      </c>
      <c r="D25" t="s">
        <v>269</v>
      </c>
      <c r="E25">
        <v>25</v>
      </c>
      <c r="F25"/>
      <c r="G25">
        <v>12</v>
      </c>
      <c r="H25"/>
    </row>
    <row r="26" spans="1:8" s="12" customFormat="1">
      <c r="A26" t="s">
        <v>146</v>
      </c>
      <c r="B26">
        <v>0</v>
      </c>
      <c r="C26">
        <v>10</v>
      </c>
      <c r="D26" t="s">
        <v>270</v>
      </c>
      <c r="E26">
        <v>4</v>
      </c>
      <c r="F26"/>
      <c r="G26">
        <v>12</v>
      </c>
      <c r="H26"/>
    </row>
    <row r="27" spans="1:8" s="11" customFormat="1">
      <c r="A27" t="s">
        <v>146</v>
      </c>
      <c r="B27">
        <v>10</v>
      </c>
      <c r="C27">
        <v>20</v>
      </c>
      <c r="D27" t="s">
        <v>271</v>
      </c>
      <c r="E27">
        <v>27</v>
      </c>
      <c r="F27"/>
      <c r="G27">
        <v>12</v>
      </c>
      <c r="H27"/>
    </row>
    <row r="28" spans="1:8" s="11" customFormat="1">
      <c r="A28" t="s">
        <v>146</v>
      </c>
      <c r="B28">
        <v>20</v>
      </c>
      <c r="C28">
        <v>30</v>
      </c>
      <c r="D28" t="s">
        <v>272</v>
      </c>
      <c r="E28">
        <v>24</v>
      </c>
      <c r="F28"/>
      <c r="G28">
        <v>12</v>
      </c>
      <c r="H28"/>
    </row>
    <row r="29" spans="1:8" s="11" customFormat="1">
      <c r="A29" t="s">
        <v>61</v>
      </c>
      <c r="B29">
        <v>0</v>
      </c>
      <c r="C29">
        <v>10</v>
      </c>
      <c r="D29" t="s">
        <v>242</v>
      </c>
      <c r="E29">
        <v>88.28</v>
      </c>
      <c r="F29">
        <v>52.13</v>
      </c>
      <c r="G29">
        <v>4</v>
      </c>
      <c r="H29"/>
    </row>
    <row r="30" spans="1:8" s="11" customFormat="1">
      <c r="A30" t="s">
        <v>61</v>
      </c>
      <c r="B30">
        <v>10</v>
      </c>
      <c r="C30">
        <v>20</v>
      </c>
      <c r="D30" t="s">
        <v>241</v>
      </c>
      <c r="E30">
        <v>35.15</v>
      </c>
      <c r="F30">
        <v>23.33</v>
      </c>
      <c r="G30">
        <v>4</v>
      </c>
      <c r="H30"/>
    </row>
    <row r="31" spans="1:8">
      <c r="A31" t="s">
        <v>61</v>
      </c>
      <c r="B31">
        <v>20</v>
      </c>
      <c r="C31">
        <v>30</v>
      </c>
      <c r="D31" t="s">
        <v>243</v>
      </c>
      <c r="E31">
        <v>30.28</v>
      </c>
      <c r="F31">
        <v>23.66</v>
      </c>
      <c r="G31">
        <v>4</v>
      </c>
    </row>
    <row r="32" spans="1:8" s="12" customFormat="1">
      <c r="A32" t="s">
        <v>62</v>
      </c>
      <c r="B32">
        <v>0</v>
      </c>
      <c r="C32">
        <v>10</v>
      </c>
      <c r="D32" t="s">
        <v>244</v>
      </c>
      <c r="E32">
        <v>80.73</v>
      </c>
      <c r="F32">
        <v>45.07</v>
      </c>
      <c r="G32">
        <v>4</v>
      </c>
      <c r="H32"/>
    </row>
    <row r="33" spans="1:10" s="12" customFormat="1">
      <c r="A33" t="s">
        <v>62</v>
      </c>
      <c r="B33">
        <v>10</v>
      </c>
      <c r="C33">
        <v>20</v>
      </c>
      <c r="D33" t="s">
        <v>245</v>
      </c>
      <c r="E33">
        <v>24.55</v>
      </c>
      <c r="F33">
        <v>28.54</v>
      </c>
      <c r="G33">
        <v>4</v>
      </c>
      <c r="H33"/>
    </row>
    <row r="34" spans="1:10" s="12" customFormat="1">
      <c r="A34" t="s">
        <v>62</v>
      </c>
      <c r="B34">
        <v>20</v>
      </c>
      <c r="C34">
        <v>30</v>
      </c>
      <c r="D34" t="s">
        <v>246</v>
      </c>
      <c r="E34">
        <v>38</v>
      </c>
      <c r="F34">
        <v>22.62</v>
      </c>
      <c r="G34">
        <v>4</v>
      </c>
      <c r="H34"/>
    </row>
    <row r="35" spans="1:10" s="12" customFormat="1">
      <c r="A35" t="s">
        <v>200</v>
      </c>
      <c r="B35">
        <v>0</v>
      </c>
      <c r="C35">
        <v>5</v>
      </c>
      <c r="D35" t="s">
        <v>530</v>
      </c>
      <c r="E35" s="8">
        <v>-58.7</v>
      </c>
      <c r="F35" s="13">
        <v>36</v>
      </c>
      <c r="G35" s="8">
        <v>29</v>
      </c>
      <c r="H35"/>
    </row>
    <row r="36" spans="1:10" s="12" customFormat="1">
      <c r="A36" t="s">
        <v>200</v>
      </c>
      <c r="B36">
        <v>5</v>
      </c>
      <c r="C36">
        <v>10</v>
      </c>
      <c r="D36" t="s">
        <v>531</v>
      </c>
      <c r="E36" s="8">
        <v>-78.5</v>
      </c>
      <c r="F36" s="8">
        <v>21.9</v>
      </c>
      <c r="G36" s="8">
        <v>29</v>
      </c>
      <c r="H36"/>
    </row>
    <row r="37" spans="1:10" s="12" customFormat="1">
      <c r="A37" t="s">
        <v>200</v>
      </c>
      <c r="B37">
        <v>10</v>
      </c>
      <c r="C37">
        <v>20</v>
      </c>
      <c r="D37" t="s">
        <v>532</v>
      </c>
      <c r="E37" s="8">
        <v>-90.77</v>
      </c>
      <c r="F37" s="8">
        <v>51.8</v>
      </c>
      <c r="G37" s="8">
        <v>29</v>
      </c>
      <c r="H37"/>
    </row>
    <row r="38" spans="1:10" s="12" customFormat="1">
      <c r="A38" t="s">
        <v>200</v>
      </c>
      <c r="B38">
        <v>20</v>
      </c>
      <c r="C38">
        <v>30</v>
      </c>
      <c r="D38" t="s">
        <v>533</v>
      </c>
      <c r="E38" s="8">
        <v>-96.7</v>
      </c>
      <c r="F38" s="8">
        <v>55.3</v>
      </c>
      <c r="G38" s="8">
        <v>29</v>
      </c>
      <c r="H38"/>
    </row>
    <row r="39" spans="1:10" s="12" customFormat="1">
      <c r="A39" t="s">
        <v>702</v>
      </c>
      <c r="B39">
        <v>0</v>
      </c>
      <c r="C39">
        <v>10</v>
      </c>
      <c r="D39" t="s">
        <v>710</v>
      </c>
      <c r="E39">
        <v>13.7</v>
      </c>
      <c r="F39">
        <v>3.7</v>
      </c>
      <c r="G39">
        <v>35</v>
      </c>
      <c r="H39">
        <v>0.28999999999999998</v>
      </c>
      <c r="I39"/>
      <c r="J39"/>
    </row>
    <row r="40" spans="1:10" s="12" customFormat="1">
      <c r="A40" t="s">
        <v>702</v>
      </c>
      <c r="B40">
        <v>10</v>
      </c>
      <c r="C40">
        <v>20</v>
      </c>
      <c r="D40" t="s">
        <v>711</v>
      </c>
      <c r="E40">
        <v>7</v>
      </c>
      <c r="F40">
        <v>3.63</v>
      </c>
      <c r="G40">
        <v>35</v>
      </c>
      <c r="H40">
        <v>0.1</v>
      </c>
      <c r="I40"/>
      <c r="J40"/>
    </row>
    <row r="41" spans="1:10" s="12" customFormat="1">
      <c r="A41" t="s">
        <v>702</v>
      </c>
      <c r="B41">
        <v>20</v>
      </c>
      <c r="C41">
        <v>30</v>
      </c>
      <c r="D41" t="s">
        <v>712</v>
      </c>
      <c r="E41">
        <v>12.8</v>
      </c>
      <c r="F41">
        <v>6.43</v>
      </c>
      <c r="G41">
        <v>31</v>
      </c>
      <c r="H41">
        <v>0.12</v>
      </c>
      <c r="I41"/>
      <c r="J41"/>
    </row>
    <row r="42" spans="1:10" s="12" customFormat="1">
      <c r="A42" t="s">
        <v>702</v>
      </c>
      <c r="B42">
        <v>30</v>
      </c>
      <c r="C42">
        <v>40</v>
      </c>
      <c r="D42" t="s">
        <v>713</v>
      </c>
      <c r="E42">
        <v>16.3</v>
      </c>
      <c r="F42">
        <v>7.45</v>
      </c>
      <c r="G42">
        <v>24</v>
      </c>
      <c r="H42">
        <v>0.18</v>
      </c>
      <c r="I42"/>
      <c r="J42"/>
    </row>
    <row r="43" spans="1:10" s="12" customFormat="1">
      <c r="A43" t="s">
        <v>702</v>
      </c>
      <c r="B43">
        <v>40</v>
      </c>
      <c r="C43">
        <v>50</v>
      </c>
      <c r="D43" t="s">
        <v>714</v>
      </c>
      <c r="E43">
        <v>13.5</v>
      </c>
      <c r="F43">
        <v>6.54</v>
      </c>
      <c r="G43">
        <v>20</v>
      </c>
      <c r="H43">
        <v>0.19</v>
      </c>
      <c r="I43"/>
      <c r="J43"/>
    </row>
    <row r="44" spans="1:10" s="12" customFormat="1">
      <c r="A44" t="s">
        <v>229</v>
      </c>
      <c r="B44">
        <v>0</v>
      </c>
      <c r="C44">
        <v>7.5</v>
      </c>
      <c r="D44" t="s">
        <v>534</v>
      </c>
      <c r="E44" s="8">
        <v>34.4</v>
      </c>
      <c r="F44" s="8">
        <v>14.2</v>
      </c>
      <c r="G44" s="8">
        <v>89</v>
      </c>
      <c r="H44"/>
    </row>
    <row r="45" spans="1:10" s="12" customFormat="1">
      <c r="A45" t="s">
        <v>229</v>
      </c>
      <c r="B45">
        <v>7.5</v>
      </c>
      <c r="C45">
        <v>15</v>
      </c>
      <c r="D45" t="s">
        <v>535</v>
      </c>
      <c r="E45" s="8">
        <v>48.6</v>
      </c>
      <c r="F45" s="8">
        <v>10.9</v>
      </c>
      <c r="G45" s="8">
        <v>89</v>
      </c>
      <c r="H45"/>
    </row>
    <row r="46" spans="1:10" s="12" customFormat="1">
      <c r="A46" t="s">
        <v>293</v>
      </c>
      <c r="B46">
        <v>0</v>
      </c>
      <c r="C46">
        <v>10</v>
      </c>
      <c r="D46" t="s">
        <v>522</v>
      </c>
      <c r="E46">
        <v>46</v>
      </c>
      <c r="F46" s="9">
        <v>7.6</v>
      </c>
      <c r="G46" s="9">
        <v>7</v>
      </c>
      <c r="H46"/>
    </row>
    <row r="47" spans="1:10" s="12" customFormat="1">
      <c r="A47" t="s">
        <v>293</v>
      </c>
      <c r="B47">
        <v>10</v>
      </c>
      <c r="C47">
        <v>20</v>
      </c>
      <c r="D47" t="s">
        <v>523</v>
      </c>
      <c r="E47">
        <v>16</v>
      </c>
      <c r="F47" s="9">
        <v>9.4</v>
      </c>
      <c r="G47" s="9">
        <v>6</v>
      </c>
      <c r="H47"/>
    </row>
    <row r="48" spans="1:10" s="12" customFormat="1">
      <c r="A48" t="s">
        <v>293</v>
      </c>
      <c r="B48">
        <v>20</v>
      </c>
      <c r="C48">
        <v>30</v>
      </c>
      <c r="D48" t="s">
        <v>524</v>
      </c>
      <c r="E48">
        <v>19</v>
      </c>
      <c r="F48" s="9">
        <v>7.4</v>
      </c>
      <c r="G48" s="9">
        <v>7</v>
      </c>
      <c r="H48"/>
    </row>
    <row r="49" spans="1:8" s="12" customFormat="1">
      <c r="A49" t="s">
        <v>293</v>
      </c>
      <c r="B49">
        <v>30</v>
      </c>
      <c r="C49">
        <v>100</v>
      </c>
      <c r="D49" t="s">
        <v>525</v>
      </c>
      <c r="E49">
        <v>99</v>
      </c>
      <c r="F49" s="9">
        <v>11</v>
      </c>
      <c r="G49" s="9">
        <v>5</v>
      </c>
      <c r="H49"/>
    </row>
    <row r="50" spans="1:8" s="12" customFormat="1">
      <c r="A50" t="s">
        <v>202</v>
      </c>
      <c r="B50">
        <v>0</v>
      </c>
      <c r="C50">
        <v>10</v>
      </c>
      <c r="D50" t="s">
        <v>526</v>
      </c>
      <c r="E50" s="8">
        <v>13</v>
      </c>
      <c r="F50" s="8">
        <v>3.9</v>
      </c>
      <c r="G50" s="8">
        <v>5</v>
      </c>
      <c r="H50"/>
    </row>
    <row r="51" spans="1:8" s="12" customFormat="1">
      <c r="A51" t="s">
        <v>202</v>
      </c>
      <c r="B51">
        <v>10</v>
      </c>
      <c r="C51">
        <v>25</v>
      </c>
      <c r="D51" t="s">
        <v>274</v>
      </c>
      <c r="E51" s="8">
        <v>49.8</v>
      </c>
      <c r="F51" s="8">
        <v>4.8</v>
      </c>
      <c r="G51" s="8">
        <v>5</v>
      </c>
      <c r="H51"/>
    </row>
    <row r="52" spans="1:8" s="12" customFormat="1">
      <c r="A52" t="s">
        <v>287</v>
      </c>
      <c r="B52">
        <v>0</v>
      </c>
      <c r="C52">
        <v>15</v>
      </c>
      <c r="D52" t="s">
        <v>536</v>
      </c>
      <c r="E52" s="8">
        <v>90.4</v>
      </c>
      <c r="F52" s="8">
        <v>23.8</v>
      </c>
      <c r="G52" s="8">
        <v>57</v>
      </c>
      <c r="H52" s="8">
        <v>0.4</v>
      </c>
    </row>
    <row r="53" spans="1:8" s="12" customFormat="1">
      <c r="A53" t="s">
        <v>287</v>
      </c>
      <c r="B53">
        <v>15</v>
      </c>
      <c r="C53">
        <v>30</v>
      </c>
      <c r="D53" t="s">
        <v>527</v>
      </c>
      <c r="E53" s="8">
        <v>-0.49</v>
      </c>
      <c r="F53" s="8">
        <v>9.33</v>
      </c>
      <c r="G53" s="8">
        <v>59</v>
      </c>
      <c r="H53" s="8">
        <v>0.05</v>
      </c>
    </row>
    <row r="54" spans="1:8" s="12" customFormat="1">
      <c r="A54" t="s">
        <v>287</v>
      </c>
      <c r="B54">
        <v>30</v>
      </c>
      <c r="C54">
        <v>50</v>
      </c>
      <c r="D54" t="s">
        <v>528</v>
      </c>
      <c r="E54" s="8">
        <v>-11.2</v>
      </c>
      <c r="F54" s="8">
        <v>11.8</v>
      </c>
      <c r="G54" s="8">
        <v>59</v>
      </c>
      <c r="H54" s="8">
        <v>0.04</v>
      </c>
    </row>
    <row r="55" spans="1:8" s="12" customFormat="1">
      <c r="A55" t="s">
        <v>286</v>
      </c>
      <c r="B55">
        <v>0</v>
      </c>
      <c r="C55">
        <v>15</v>
      </c>
      <c r="D55" t="s">
        <v>529</v>
      </c>
      <c r="E55">
        <v>26</v>
      </c>
      <c r="F55" s="9">
        <v>9.1999999999999993</v>
      </c>
      <c r="G55">
        <v>22</v>
      </c>
      <c r="H55">
        <v>0.28000000000000003</v>
      </c>
    </row>
    <row r="56" spans="1:8" s="12" customFormat="1">
      <c r="A56" t="s">
        <v>286</v>
      </c>
      <c r="B56">
        <v>15</v>
      </c>
      <c r="C56">
        <v>30</v>
      </c>
      <c r="D56" t="s">
        <v>537</v>
      </c>
      <c r="E56">
        <v>-53</v>
      </c>
      <c r="F56" s="9">
        <v>13.8</v>
      </c>
      <c r="G56">
        <v>22</v>
      </c>
      <c r="H56">
        <v>0.48</v>
      </c>
    </row>
    <row r="57" spans="1:8" s="12" customFormat="1">
      <c r="A57" t="s">
        <v>286</v>
      </c>
      <c r="B57">
        <v>30</v>
      </c>
      <c r="C57">
        <v>50</v>
      </c>
      <c r="D57" t="s">
        <v>538</v>
      </c>
      <c r="E57">
        <v>-81</v>
      </c>
      <c r="F57" s="9">
        <v>52</v>
      </c>
      <c r="G57">
        <v>22</v>
      </c>
      <c r="H57">
        <v>0.26</v>
      </c>
    </row>
    <row r="58" spans="1:8" s="12" customFormat="1">
      <c r="A58" s="12" t="s">
        <v>76</v>
      </c>
      <c r="B58" s="12">
        <v>0</v>
      </c>
      <c r="C58" s="12">
        <v>5.0999999999999996</v>
      </c>
      <c r="D58" s="12" t="s">
        <v>155</v>
      </c>
      <c r="E58" s="12">
        <v>143.30000000000001</v>
      </c>
      <c r="F58" s="3"/>
      <c r="G58" s="12">
        <v>5</v>
      </c>
      <c r="H58"/>
    </row>
    <row r="59" spans="1:8" s="12" customFormat="1">
      <c r="A59" s="12" t="s">
        <v>73</v>
      </c>
      <c r="B59" s="12">
        <v>0</v>
      </c>
      <c r="C59" s="12">
        <v>5.0999999999999996</v>
      </c>
      <c r="D59" s="12" t="s">
        <v>156</v>
      </c>
      <c r="E59" s="12">
        <v>160</v>
      </c>
      <c r="F59" s="3"/>
      <c r="G59" s="12">
        <v>5</v>
      </c>
      <c r="H59"/>
    </row>
    <row r="60" spans="1:8" s="12" customFormat="1">
      <c r="A60" s="12" t="s">
        <v>70</v>
      </c>
      <c r="B60" s="12">
        <v>0</v>
      </c>
      <c r="C60" s="12">
        <v>5.0999999999999996</v>
      </c>
      <c r="D60" s="12" t="s">
        <v>157</v>
      </c>
      <c r="E60" s="12">
        <v>140.80000000000001</v>
      </c>
      <c r="F60" s="3"/>
      <c r="G60" s="12">
        <v>5</v>
      </c>
      <c r="H60"/>
    </row>
    <row r="61" spans="1:8" s="12" customFormat="1">
      <c r="A61" s="12" t="s">
        <v>71</v>
      </c>
      <c r="B61" s="12">
        <v>0</v>
      </c>
      <c r="C61" s="12">
        <v>5.0999999999999996</v>
      </c>
      <c r="D61" s="12" t="s">
        <v>158</v>
      </c>
      <c r="E61" s="12">
        <v>162.9</v>
      </c>
      <c r="F61" s="3"/>
      <c r="G61" s="12">
        <v>5</v>
      </c>
      <c r="H61"/>
    </row>
    <row r="62" spans="1:8" s="12" customFormat="1">
      <c r="A62" t="s">
        <v>197</v>
      </c>
      <c r="B62">
        <v>0</v>
      </c>
      <c r="C62">
        <v>11.4</v>
      </c>
      <c r="D62" t="s">
        <v>128</v>
      </c>
      <c r="E62">
        <v>70.8</v>
      </c>
      <c r="F62">
        <v>10.199999999999999</v>
      </c>
      <c r="G62">
        <v>161</v>
      </c>
      <c r="H62"/>
    </row>
    <row r="63" spans="1:8" s="12" customFormat="1">
      <c r="A63" s="9" t="s">
        <v>199</v>
      </c>
      <c r="B63" s="9">
        <v>0</v>
      </c>
      <c r="C63" s="9">
        <v>15.2</v>
      </c>
      <c r="D63" s="9" t="s">
        <v>129</v>
      </c>
      <c r="E63" s="9">
        <v>73</v>
      </c>
      <c r="F63" s="9">
        <v>18</v>
      </c>
      <c r="G63" s="9">
        <v>90</v>
      </c>
      <c r="H63"/>
    </row>
    <row r="64" spans="1:8" s="12" customFormat="1">
      <c r="A64" t="s">
        <v>198</v>
      </c>
      <c r="B64">
        <v>0</v>
      </c>
      <c r="C64">
        <v>11.4</v>
      </c>
      <c r="D64" t="s">
        <v>127</v>
      </c>
      <c r="E64">
        <v>106</v>
      </c>
      <c r="F64">
        <v>11</v>
      </c>
      <c r="G64">
        <v>246</v>
      </c>
      <c r="H64"/>
    </row>
    <row r="65" spans="1:8" s="12" customFormat="1">
      <c r="A65" s="12" t="s">
        <v>30</v>
      </c>
      <c r="B65" s="12">
        <v>0</v>
      </c>
      <c r="C65" s="12">
        <v>10</v>
      </c>
      <c r="D65" s="12" t="s">
        <v>307</v>
      </c>
      <c r="E65" s="12">
        <v>66</v>
      </c>
      <c r="G65" s="12">
        <v>9</v>
      </c>
      <c r="H65"/>
    </row>
    <row r="66" spans="1:8" s="12" customFormat="1">
      <c r="A66" s="12" t="s">
        <v>30</v>
      </c>
      <c r="B66" s="12">
        <v>10</v>
      </c>
      <c r="C66" s="12">
        <v>20</v>
      </c>
      <c r="D66" s="12" t="s">
        <v>308</v>
      </c>
      <c r="E66" s="12">
        <v>9.9</v>
      </c>
      <c r="G66" s="12">
        <v>9</v>
      </c>
      <c r="H66"/>
    </row>
    <row r="67" spans="1:8" s="12" customFormat="1">
      <c r="A67" s="12" t="s">
        <v>32</v>
      </c>
      <c r="B67" s="12">
        <v>0</v>
      </c>
      <c r="C67" s="12">
        <v>10</v>
      </c>
      <c r="D67" s="12" t="s">
        <v>303</v>
      </c>
      <c r="E67" s="12">
        <v>6.25</v>
      </c>
      <c r="G67" s="12">
        <v>9</v>
      </c>
      <c r="H67"/>
    </row>
    <row r="68" spans="1:8" s="12" customFormat="1">
      <c r="A68" s="12" t="s">
        <v>32</v>
      </c>
      <c r="B68" s="12">
        <v>10</v>
      </c>
      <c r="C68" s="12">
        <v>20</v>
      </c>
      <c r="D68" s="12" t="s">
        <v>304</v>
      </c>
      <c r="E68" s="12">
        <v>71</v>
      </c>
      <c r="G68" s="12">
        <v>9</v>
      </c>
      <c r="H68"/>
    </row>
    <row r="69" spans="1:8" s="12" customFormat="1">
      <c r="A69" s="12" t="s">
        <v>31</v>
      </c>
      <c r="B69" s="12">
        <v>0</v>
      </c>
      <c r="C69" s="12">
        <v>10</v>
      </c>
      <c r="D69" s="12" t="s">
        <v>301</v>
      </c>
      <c r="E69" s="12">
        <v>61.75</v>
      </c>
      <c r="G69" s="12">
        <v>9</v>
      </c>
      <c r="H69"/>
    </row>
    <row r="70" spans="1:8" s="12" customFormat="1">
      <c r="A70" s="12" t="s">
        <v>31</v>
      </c>
      <c r="B70" s="12">
        <v>10</v>
      </c>
      <c r="C70" s="12">
        <v>20</v>
      </c>
      <c r="D70" s="12" t="s">
        <v>302</v>
      </c>
      <c r="E70" s="12">
        <v>-14.4</v>
      </c>
      <c r="G70" s="12">
        <v>9</v>
      </c>
      <c r="H70"/>
    </row>
    <row r="71" spans="1:8" s="12" customFormat="1">
      <c r="A71" s="12" t="s">
        <v>166</v>
      </c>
      <c r="B71" s="12">
        <v>0</v>
      </c>
      <c r="C71" s="12">
        <v>10</v>
      </c>
      <c r="D71" s="12" t="s">
        <v>305</v>
      </c>
      <c r="E71" s="12">
        <v>47.25</v>
      </c>
      <c r="G71" s="12">
        <v>9</v>
      </c>
      <c r="H71"/>
    </row>
    <row r="72" spans="1:8" s="12" customFormat="1">
      <c r="A72" s="12" t="s">
        <v>166</v>
      </c>
      <c r="B72" s="12">
        <v>10</v>
      </c>
      <c r="C72" s="12">
        <v>20</v>
      </c>
      <c r="D72" s="12" t="s">
        <v>306</v>
      </c>
      <c r="E72" s="12">
        <v>-18</v>
      </c>
      <c r="G72" s="12">
        <v>9</v>
      </c>
      <c r="H72"/>
    </row>
    <row r="73" spans="1:8" s="12" customFormat="1">
      <c r="A73" s="12" t="s">
        <v>221</v>
      </c>
      <c r="B73" s="12">
        <v>0</v>
      </c>
      <c r="C73" s="12">
        <v>10</v>
      </c>
      <c r="D73" s="12" t="s">
        <v>309</v>
      </c>
      <c r="E73" s="12">
        <v>10.8</v>
      </c>
      <c r="F73" s="12">
        <v>6.3</v>
      </c>
      <c r="G73" s="12">
        <v>10</v>
      </c>
      <c r="H73" s="12">
        <v>0.27</v>
      </c>
    </row>
    <row r="74" spans="1:8" s="12" customFormat="1">
      <c r="A74" s="12" t="s">
        <v>221</v>
      </c>
      <c r="B74" s="12">
        <v>10</v>
      </c>
      <c r="C74" s="12">
        <v>30</v>
      </c>
      <c r="D74" s="12" t="s">
        <v>310</v>
      </c>
      <c r="E74" s="12">
        <v>8.8000000000000007</v>
      </c>
      <c r="F74" s="12">
        <v>37</v>
      </c>
      <c r="G74" s="12">
        <v>10</v>
      </c>
      <c r="H74" s="12">
        <v>0.95</v>
      </c>
    </row>
    <row r="75" spans="1:8" s="12" customFormat="1">
      <c r="A75" s="12" t="s">
        <v>221</v>
      </c>
      <c r="B75" s="12">
        <v>30</v>
      </c>
      <c r="C75" s="12">
        <v>70</v>
      </c>
      <c r="D75" s="12" t="s">
        <v>311</v>
      </c>
      <c r="E75" s="12">
        <v>8.3000000000000007</v>
      </c>
      <c r="F75" s="12">
        <v>70</v>
      </c>
      <c r="G75" s="12">
        <v>10</v>
      </c>
      <c r="H75" s="12">
        <v>0.9</v>
      </c>
    </row>
    <row r="76" spans="1:8" s="12" customFormat="1">
      <c r="A76" s="12" t="s">
        <v>221</v>
      </c>
      <c r="B76" s="12">
        <v>70</v>
      </c>
      <c r="C76" s="12">
        <v>100</v>
      </c>
      <c r="D76" s="12" t="s">
        <v>312</v>
      </c>
      <c r="E76" s="12">
        <v>7.9</v>
      </c>
      <c r="F76" s="12">
        <v>45</v>
      </c>
      <c r="G76" s="12">
        <v>8</v>
      </c>
      <c r="H76" s="12">
        <v>0.88</v>
      </c>
    </row>
    <row r="77" spans="1:8" s="12" customFormat="1">
      <c r="A77" s="12" t="s">
        <v>222</v>
      </c>
      <c r="B77" s="12">
        <v>0</v>
      </c>
      <c r="C77" s="12">
        <v>10</v>
      </c>
      <c r="D77" s="12" t="s">
        <v>313</v>
      </c>
      <c r="E77" s="12">
        <v>-6.7</v>
      </c>
      <c r="F77" s="12">
        <v>52</v>
      </c>
      <c r="G77" s="12">
        <v>22</v>
      </c>
      <c r="H77" s="12">
        <v>0.13</v>
      </c>
    </row>
    <row r="78" spans="1:8" s="12" customFormat="1">
      <c r="A78" s="12" t="s">
        <v>222</v>
      </c>
      <c r="B78" s="12">
        <v>10</v>
      </c>
      <c r="C78" s="12">
        <v>30</v>
      </c>
      <c r="D78" s="12" t="s">
        <v>314</v>
      </c>
      <c r="E78" s="12">
        <v>88</v>
      </c>
      <c r="F78" s="12">
        <v>73</v>
      </c>
      <c r="G78" s="12">
        <v>22</v>
      </c>
      <c r="H78" s="12">
        <v>0.32</v>
      </c>
    </row>
    <row r="79" spans="1:8" s="12" customFormat="1">
      <c r="A79" s="12" t="s">
        <v>222</v>
      </c>
      <c r="B79" s="12">
        <v>30</v>
      </c>
      <c r="C79" s="12">
        <v>70</v>
      </c>
      <c r="D79" s="12" t="s">
        <v>315</v>
      </c>
      <c r="E79" s="12">
        <v>-63</v>
      </c>
      <c r="F79" s="12">
        <v>118</v>
      </c>
      <c r="G79" s="12">
        <v>20</v>
      </c>
      <c r="H79" s="12">
        <v>0.03</v>
      </c>
    </row>
    <row r="80" spans="1:8" s="12" customFormat="1">
      <c r="A80" s="12" t="s">
        <v>222</v>
      </c>
      <c r="B80" s="12">
        <v>70</v>
      </c>
      <c r="C80" s="12">
        <v>100</v>
      </c>
      <c r="D80" s="12" t="s">
        <v>316</v>
      </c>
      <c r="E80" s="12">
        <v>-11</v>
      </c>
      <c r="F80" s="12">
        <v>88</v>
      </c>
      <c r="G80" s="12">
        <v>19</v>
      </c>
      <c r="H80" s="12">
        <v>0.05</v>
      </c>
    </row>
    <row r="81" spans="1:8" s="12" customFormat="1">
      <c r="A81" t="s">
        <v>196</v>
      </c>
      <c r="B81">
        <v>0</v>
      </c>
      <c r="C81">
        <v>10</v>
      </c>
      <c r="D81" t="s">
        <v>163</v>
      </c>
      <c r="E81">
        <v>33.520000000000003</v>
      </c>
      <c r="F81">
        <v>6.34</v>
      </c>
      <c r="G81">
        <v>36</v>
      </c>
    </row>
    <row r="82" spans="1:8" s="12" customFormat="1">
      <c r="A82" s="12" t="s">
        <v>167</v>
      </c>
      <c r="B82" s="12">
        <v>0</v>
      </c>
      <c r="C82" s="12">
        <v>2.5</v>
      </c>
      <c r="D82" s="12" t="s">
        <v>320</v>
      </c>
      <c r="E82" s="12">
        <v>35</v>
      </c>
      <c r="F82" s="12">
        <v>19</v>
      </c>
      <c r="G82" s="12">
        <v>33</v>
      </c>
      <c r="H82" s="12">
        <v>0.11</v>
      </c>
    </row>
    <row r="83" spans="1:8" s="12" customFormat="1">
      <c r="A83" s="12" t="s">
        <v>167</v>
      </c>
      <c r="B83" s="12">
        <v>2.5</v>
      </c>
      <c r="C83" s="12">
        <v>5</v>
      </c>
      <c r="D83" s="12" t="s">
        <v>321</v>
      </c>
      <c r="E83" s="12">
        <v>52</v>
      </c>
      <c r="F83" s="12">
        <v>5</v>
      </c>
      <c r="G83" s="12">
        <v>33</v>
      </c>
      <c r="H83" s="12">
        <v>0.81</v>
      </c>
    </row>
    <row r="84" spans="1:8" s="12" customFormat="1">
      <c r="A84" s="12" t="s">
        <v>167</v>
      </c>
      <c r="B84" s="12">
        <v>5</v>
      </c>
      <c r="C84" s="12">
        <v>10</v>
      </c>
      <c r="D84" s="12" t="s">
        <v>322</v>
      </c>
      <c r="E84" s="12">
        <v>20.6</v>
      </c>
      <c r="F84" s="12">
        <v>9</v>
      </c>
      <c r="G84" s="12">
        <v>33</v>
      </c>
      <c r="H84" s="12">
        <v>0.45</v>
      </c>
    </row>
    <row r="85" spans="1:8" s="12" customFormat="1">
      <c r="A85" s="12" t="s">
        <v>167</v>
      </c>
      <c r="B85" s="12">
        <v>10</v>
      </c>
      <c r="C85" s="12">
        <v>15</v>
      </c>
      <c r="D85" s="12" t="s">
        <v>323</v>
      </c>
      <c r="E85" s="12">
        <v>7.3</v>
      </c>
      <c r="F85" s="12">
        <v>8.8000000000000007</v>
      </c>
      <c r="G85" s="12">
        <v>33</v>
      </c>
      <c r="H85" s="12">
        <v>0.24</v>
      </c>
    </row>
    <row r="86" spans="1:8" s="12" customFormat="1">
      <c r="A86" s="12" t="s">
        <v>168</v>
      </c>
      <c r="B86" s="12">
        <v>0</v>
      </c>
      <c r="C86" s="12">
        <v>2.5</v>
      </c>
      <c r="D86" s="12" t="s">
        <v>325</v>
      </c>
      <c r="E86" s="12">
        <v>7</v>
      </c>
      <c r="F86" s="12">
        <v>17</v>
      </c>
      <c r="G86" s="12">
        <v>33</v>
      </c>
      <c r="H86" s="12">
        <v>0.05</v>
      </c>
    </row>
    <row r="87" spans="1:8" s="12" customFormat="1">
      <c r="A87" s="12" t="s">
        <v>168</v>
      </c>
      <c r="B87" s="12">
        <v>2.5</v>
      </c>
      <c r="C87" s="12">
        <v>5</v>
      </c>
      <c r="D87" s="12" t="s">
        <v>326</v>
      </c>
      <c r="E87" s="12">
        <v>41.7</v>
      </c>
      <c r="F87" s="12">
        <v>5.2</v>
      </c>
      <c r="G87" s="12">
        <v>33</v>
      </c>
      <c r="H87" s="12">
        <v>0.72</v>
      </c>
    </row>
    <row r="88" spans="1:8" s="12" customFormat="1">
      <c r="A88" s="12" t="s">
        <v>168</v>
      </c>
      <c r="B88" s="12">
        <v>5</v>
      </c>
      <c r="C88" s="12">
        <v>10</v>
      </c>
      <c r="D88" s="12" t="s">
        <v>327</v>
      </c>
      <c r="E88" s="12">
        <v>34</v>
      </c>
      <c r="F88" s="12">
        <v>7.6</v>
      </c>
      <c r="G88" s="12">
        <v>33</v>
      </c>
      <c r="H88" s="12">
        <v>0.48</v>
      </c>
    </row>
    <row r="89" spans="1:8" s="12" customFormat="1">
      <c r="A89" s="12" t="s">
        <v>168</v>
      </c>
      <c r="B89" s="12">
        <v>10</v>
      </c>
      <c r="C89" s="12">
        <v>15</v>
      </c>
      <c r="D89" s="12" t="s">
        <v>328</v>
      </c>
      <c r="E89" s="12">
        <v>16</v>
      </c>
      <c r="F89" s="12">
        <v>8.4</v>
      </c>
      <c r="G89" s="12">
        <v>33</v>
      </c>
      <c r="H89" s="12">
        <v>0.15</v>
      </c>
    </row>
    <row r="90" spans="1:8" s="12" customFormat="1">
      <c r="A90" s="12" t="s">
        <v>164</v>
      </c>
      <c r="B90" s="12">
        <v>0</v>
      </c>
      <c r="C90" s="12">
        <v>2.5</v>
      </c>
      <c r="D90" s="12" t="s">
        <v>331</v>
      </c>
      <c r="E90" s="12">
        <v>35.1</v>
      </c>
      <c r="F90" s="12">
        <v>10.3</v>
      </c>
      <c r="G90" s="12">
        <v>24</v>
      </c>
      <c r="H90" s="12">
        <v>0.74</v>
      </c>
    </row>
    <row r="91" spans="1:8" s="12" customFormat="1">
      <c r="A91" s="12" t="s">
        <v>164</v>
      </c>
      <c r="B91" s="12">
        <v>2.5</v>
      </c>
      <c r="C91" s="12">
        <v>5</v>
      </c>
      <c r="D91" s="12" t="s">
        <v>330</v>
      </c>
      <c r="E91" s="12">
        <v>25.7</v>
      </c>
      <c r="F91" s="12">
        <v>5.5</v>
      </c>
      <c r="G91" s="12">
        <v>24</v>
      </c>
      <c r="H91" s="12">
        <v>0.88</v>
      </c>
    </row>
    <row r="92" spans="1:8" s="12" customFormat="1">
      <c r="A92" s="12" t="s">
        <v>164</v>
      </c>
      <c r="B92" s="12">
        <v>5</v>
      </c>
      <c r="C92" s="12">
        <v>10</v>
      </c>
      <c r="D92" s="12" t="s">
        <v>332</v>
      </c>
      <c r="E92" s="12">
        <v>25.5</v>
      </c>
      <c r="F92" s="12">
        <v>9.9</v>
      </c>
      <c r="G92" s="12">
        <v>24</v>
      </c>
      <c r="H92" s="12">
        <v>0.86</v>
      </c>
    </row>
    <row r="93" spans="1:8" s="12" customFormat="1">
      <c r="A93" s="12" t="s">
        <v>164</v>
      </c>
      <c r="B93" s="12">
        <v>10</v>
      </c>
      <c r="C93" s="12">
        <v>15</v>
      </c>
      <c r="D93" s="12" t="s">
        <v>333</v>
      </c>
      <c r="E93" s="12">
        <v>35.9</v>
      </c>
      <c r="F93" s="12">
        <v>7.8</v>
      </c>
      <c r="G93" s="12">
        <v>24</v>
      </c>
      <c r="H93" s="12">
        <v>0.88</v>
      </c>
    </row>
    <row r="94" spans="1:8" s="12" customFormat="1">
      <c r="A94" s="12" t="s">
        <v>179</v>
      </c>
      <c r="B94" s="12">
        <v>0</v>
      </c>
      <c r="C94" s="12">
        <v>2.5</v>
      </c>
      <c r="D94" s="12" t="s">
        <v>334</v>
      </c>
      <c r="E94" s="12">
        <v>34.799999999999997</v>
      </c>
      <c r="F94" s="12">
        <v>14.5</v>
      </c>
      <c r="G94" s="12">
        <v>33</v>
      </c>
      <c r="H94" s="12">
        <v>0.27</v>
      </c>
    </row>
    <row r="95" spans="1:8" s="12" customFormat="1">
      <c r="A95" s="12" t="s">
        <v>179</v>
      </c>
      <c r="B95" s="12">
        <v>2.5</v>
      </c>
      <c r="C95" s="12">
        <v>5</v>
      </c>
      <c r="D95" s="12" t="s">
        <v>335</v>
      </c>
      <c r="E95" s="12">
        <v>20.3</v>
      </c>
      <c r="F95" s="12">
        <v>7.5</v>
      </c>
      <c r="G95" s="12">
        <v>33</v>
      </c>
      <c r="H95" s="12">
        <v>0.39</v>
      </c>
    </row>
    <row r="96" spans="1:8" s="12" customFormat="1">
      <c r="A96" s="12" t="s">
        <v>179</v>
      </c>
      <c r="B96" s="12">
        <v>5</v>
      </c>
      <c r="C96" s="12">
        <v>10</v>
      </c>
      <c r="D96" s="12" t="s">
        <v>336</v>
      </c>
      <c r="E96" s="12">
        <v>32.6</v>
      </c>
      <c r="F96" s="12">
        <v>12.1</v>
      </c>
      <c r="G96" s="12">
        <v>33</v>
      </c>
      <c r="H96" s="12">
        <v>0.42</v>
      </c>
    </row>
    <row r="97" spans="1:8" s="12" customFormat="1">
      <c r="A97" s="12" t="s">
        <v>179</v>
      </c>
      <c r="B97" s="12">
        <v>10</v>
      </c>
      <c r="C97" s="12">
        <v>15</v>
      </c>
      <c r="D97" s="12" t="s">
        <v>337</v>
      </c>
      <c r="E97" s="12">
        <v>19.899999999999999</v>
      </c>
      <c r="F97" s="12">
        <v>10.8</v>
      </c>
      <c r="G97" s="12">
        <v>33</v>
      </c>
      <c r="H97" s="12">
        <v>0.44</v>
      </c>
    </row>
    <row r="98" spans="1:8" s="12" customFormat="1">
      <c r="A98" s="12" t="s">
        <v>165</v>
      </c>
      <c r="B98" s="12">
        <v>0</v>
      </c>
      <c r="C98" s="12">
        <v>2.5</v>
      </c>
      <c r="D98" s="12" t="s">
        <v>340</v>
      </c>
      <c r="E98" s="12">
        <v>49.5</v>
      </c>
      <c r="F98" s="12">
        <v>13.6</v>
      </c>
      <c r="G98" s="12">
        <v>30</v>
      </c>
      <c r="H98" s="12">
        <v>0.66</v>
      </c>
    </row>
    <row r="99" spans="1:8" s="12" customFormat="1">
      <c r="A99" s="12" t="s">
        <v>165</v>
      </c>
      <c r="B99" s="12">
        <v>2.5</v>
      </c>
      <c r="C99" s="12">
        <v>5</v>
      </c>
      <c r="D99" s="12" t="s">
        <v>341</v>
      </c>
      <c r="E99" s="12">
        <v>24.1</v>
      </c>
      <c r="F99" s="12">
        <v>6.58</v>
      </c>
      <c r="G99" s="12">
        <v>30</v>
      </c>
      <c r="H99" s="12">
        <v>0.63</v>
      </c>
    </row>
    <row r="100" spans="1:8" s="12" customFormat="1">
      <c r="A100" s="12" t="s">
        <v>165</v>
      </c>
      <c r="B100" s="12">
        <v>5</v>
      </c>
      <c r="C100" s="12">
        <v>10</v>
      </c>
      <c r="D100" s="12" t="s">
        <v>342</v>
      </c>
      <c r="E100" s="12">
        <v>52.8</v>
      </c>
      <c r="F100" s="12">
        <v>10.9</v>
      </c>
      <c r="G100" s="12">
        <v>30</v>
      </c>
      <c r="H100" s="12">
        <v>0.61</v>
      </c>
    </row>
    <row r="101" spans="1:8" s="12" customFormat="1">
      <c r="A101" s="12" t="s">
        <v>165</v>
      </c>
      <c r="B101" s="12">
        <v>10</v>
      </c>
      <c r="C101" s="12">
        <v>15</v>
      </c>
      <c r="D101" s="12" t="s">
        <v>343</v>
      </c>
      <c r="E101" s="12">
        <v>54.4</v>
      </c>
      <c r="F101" s="12">
        <v>14.7</v>
      </c>
      <c r="G101" s="12">
        <v>30</v>
      </c>
      <c r="H101" s="12">
        <v>0.43</v>
      </c>
    </row>
    <row r="102" spans="1:8" s="12" customFormat="1">
      <c r="A102" s="12" t="s">
        <v>82</v>
      </c>
      <c r="B102" s="12">
        <v>0</v>
      </c>
      <c r="C102" s="12">
        <v>2.5</v>
      </c>
      <c r="D102" s="12" t="s">
        <v>346</v>
      </c>
      <c r="E102" s="12">
        <v>34.5</v>
      </c>
      <c r="F102" s="12">
        <v>9.5</v>
      </c>
      <c r="G102" s="12">
        <v>33</v>
      </c>
      <c r="H102" s="12">
        <v>0.91</v>
      </c>
    </row>
    <row r="103" spans="1:8" s="12" customFormat="1">
      <c r="A103" s="12" t="s">
        <v>82</v>
      </c>
      <c r="B103" s="12">
        <v>2.5</v>
      </c>
      <c r="C103" s="12">
        <v>5</v>
      </c>
      <c r="D103" s="12" t="s">
        <v>345</v>
      </c>
      <c r="E103" s="12">
        <v>17.7</v>
      </c>
      <c r="F103" s="12">
        <v>1.88</v>
      </c>
      <c r="G103" s="12">
        <v>33</v>
      </c>
      <c r="H103" s="12">
        <v>0.8</v>
      </c>
    </row>
    <row r="104" spans="1:8" s="12" customFormat="1">
      <c r="A104" s="12" t="s">
        <v>82</v>
      </c>
      <c r="B104" s="12">
        <v>5</v>
      </c>
      <c r="C104" s="12">
        <v>10</v>
      </c>
      <c r="D104" s="12" t="s">
        <v>347</v>
      </c>
      <c r="E104" s="12">
        <v>36.9</v>
      </c>
      <c r="F104" s="12">
        <v>6</v>
      </c>
      <c r="G104" s="12">
        <v>33</v>
      </c>
      <c r="H104" s="12">
        <v>0.59</v>
      </c>
    </row>
    <row r="105" spans="1:8" s="12" customFormat="1">
      <c r="A105" s="12" t="s">
        <v>82</v>
      </c>
      <c r="B105" s="12">
        <v>10</v>
      </c>
      <c r="C105" s="12">
        <v>15</v>
      </c>
      <c r="D105" s="12" t="s">
        <v>348</v>
      </c>
      <c r="E105" s="12">
        <v>41.9</v>
      </c>
      <c r="F105" s="12">
        <v>11.3</v>
      </c>
      <c r="G105" s="12">
        <v>33</v>
      </c>
      <c r="H105" s="12">
        <v>0.59</v>
      </c>
    </row>
    <row r="106" spans="1:8" s="12" customFormat="1">
      <c r="A106" s="12" t="s">
        <v>184</v>
      </c>
      <c r="B106" s="12">
        <v>0</v>
      </c>
      <c r="C106" s="12">
        <v>2.5</v>
      </c>
      <c r="D106" s="12" t="s">
        <v>365</v>
      </c>
      <c r="E106" s="12">
        <v>46.9</v>
      </c>
      <c r="F106" s="12">
        <v>30.6</v>
      </c>
      <c r="G106" s="12">
        <v>27</v>
      </c>
      <c r="H106" s="12">
        <v>0.27</v>
      </c>
    </row>
    <row r="107" spans="1:8" s="12" customFormat="1">
      <c r="A107" s="12" t="s">
        <v>184</v>
      </c>
      <c r="B107" s="12">
        <v>2.5</v>
      </c>
      <c r="C107" s="12">
        <v>5</v>
      </c>
      <c r="D107" s="12" t="s">
        <v>366</v>
      </c>
      <c r="E107" s="16">
        <v>-9</v>
      </c>
      <c r="F107" s="12">
        <v>24.3</v>
      </c>
      <c r="G107" s="12">
        <v>27</v>
      </c>
      <c r="H107" s="12">
        <v>0.35</v>
      </c>
    </row>
    <row r="108" spans="1:8" s="12" customFormat="1">
      <c r="A108" s="12" t="s">
        <v>184</v>
      </c>
      <c r="B108" s="12">
        <v>5</v>
      </c>
      <c r="C108" s="12">
        <v>10</v>
      </c>
      <c r="D108" s="12" t="s">
        <v>367</v>
      </c>
      <c r="E108" s="12">
        <v>22.9</v>
      </c>
      <c r="F108" s="12">
        <v>36</v>
      </c>
      <c r="G108" s="12">
        <v>27</v>
      </c>
      <c r="H108" s="12">
        <v>0.16</v>
      </c>
    </row>
    <row r="109" spans="1:8">
      <c r="A109" s="12" t="s">
        <v>184</v>
      </c>
      <c r="B109" s="12">
        <v>10</v>
      </c>
      <c r="C109" s="12">
        <v>15</v>
      </c>
      <c r="D109" s="12" t="s">
        <v>368</v>
      </c>
      <c r="E109" s="12">
        <v>42.6</v>
      </c>
      <c r="F109" s="12">
        <v>18</v>
      </c>
      <c r="G109" s="12">
        <v>27</v>
      </c>
      <c r="H109" s="12">
        <v>0.39</v>
      </c>
    </row>
    <row r="110" spans="1:8">
      <c r="A110" s="12" t="s">
        <v>83</v>
      </c>
      <c r="B110" s="12">
        <v>0</v>
      </c>
      <c r="C110" s="12">
        <v>2.5</v>
      </c>
      <c r="D110" s="12" t="s">
        <v>370</v>
      </c>
      <c r="E110" s="12">
        <v>20.43</v>
      </c>
      <c r="F110" s="12">
        <v>13.8</v>
      </c>
      <c r="G110" s="12">
        <v>33</v>
      </c>
      <c r="H110" s="12">
        <v>0.28999999999999998</v>
      </c>
    </row>
    <row r="111" spans="1:8">
      <c r="A111" s="12" t="s">
        <v>83</v>
      </c>
      <c r="B111" s="12">
        <v>2.5</v>
      </c>
      <c r="C111" s="12">
        <v>5</v>
      </c>
      <c r="D111" s="12" t="s">
        <v>369</v>
      </c>
      <c r="E111" s="12">
        <v>30</v>
      </c>
      <c r="F111" s="12">
        <v>9.8800000000000008</v>
      </c>
      <c r="G111" s="12">
        <v>33</v>
      </c>
      <c r="H111" s="12">
        <v>0.57999999999999996</v>
      </c>
    </row>
    <row r="112" spans="1:8" s="12" customFormat="1">
      <c r="A112" s="12" t="s">
        <v>83</v>
      </c>
      <c r="B112" s="12">
        <v>5</v>
      </c>
      <c r="C112" s="12">
        <v>10</v>
      </c>
      <c r="D112" s="12" t="s">
        <v>371</v>
      </c>
      <c r="E112" s="12">
        <v>77.5</v>
      </c>
      <c r="F112" s="12">
        <v>17.600000000000001</v>
      </c>
      <c r="G112" s="12">
        <v>33</v>
      </c>
      <c r="H112" s="12">
        <v>0.53</v>
      </c>
    </row>
    <row r="113" spans="1:8" s="12" customFormat="1">
      <c r="A113" s="12" t="s">
        <v>83</v>
      </c>
      <c r="B113" s="12">
        <v>10</v>
      </c>
      <c r="C113" s="12">
        <v>15</v>
      </c>
      <c r="D113" s="12" t="s">
        <v>372</v>
      </c>
      <c r="E113" s="12">
        <v>65.2</v>
      </c>
      <c r="F113" s="12">
        <v>21.1</v>
      </c>
      <c r="G113" s="12">
        <v>33</v>
      </c>
      <c r="H113" s="12">
        <v>0.42</v>
      </c>
    </row>
    <row r="114" spans="1:8" s="12" customFormat="1">
      <c r="A114" s="12" t="s">
        <v>84</v>
      </c>
      <c r="B114" s="12">
        <v>0</v>
      </c>
      <c r="C114" s="12">
        <v>2.5</v>
      </c>
      <c r="D114" s="12" t="s">
        <v>375</v>
      </c>
      <c r="E114" s="12">
        <v>39</v>
      </c>
      <c r="F114" s="12">
        <v>10.8</v>
      </c>
      <c r="G114" s="12">
        <v>30</v>
      </c>
      <c r="H114" s="12">
        <v>0.51</v>
      </c>
    </row>
    <row r="115" spans="1:8" s="12" customFormat="1">
      <c r="A115" s="12" t="s">
        <v>84</v>
      </c>
      <c r="B115" s="12">
        <v>2.5</v>
      </c>
      <c r="C115" s="12">
        <v>5</v>
      </c>
      <c r="D115" s="12" t="s">
        <v>376</v>
      </c>
      <c r="E115" s="12">
        <v>21.9</v>
      </c>
      <c r="F115" s="12">
        <v>5.87</v>
      </c>
      <c r="G115" s="12">
        <v>30</v>
      </c>
      <c r="H115" s="12">
        <v>0.61799999999999999</v>
      </c>
    </row>
    <row r="116" spans="1:8" s="11" customFormat="1">
      <c r="A116" s="12" t="s">
        <v>84</v>
      </c>
      <c r="B116" s="12">
        <v>5</v>
      </c>
      <c r="C116" s="12">
        <v>10</v>
      </c>
      <c r="D116" s="12" t="s">
        <v>377</v>
      </c>
      <c r="E116" s="12">
        <v>34.799999999999997</v>
      </c>
      <c r="F116" s="12">
        <v>12.7</v>
      </c>
      <c r="G116" s="12">
        <v>30</v>
      </c>
      <c r="H116" s="12">
        <v>0.47</v>
      </c>
    </row>
    <row r="117" spans="1:8" s="11" customFormat="1">
      <c r="A117" s="12" t="s">
        <v>84</v>
      </c>
      <c r="B117" s="12">
        <v>10</v>
      </c>
      <c r="C117" s="12">
        <v>15</v>
      </c>
      <c r="D117" s="12" t="s">
        <v>378</v>
      </c>
      <c r="E117" s="12">
        <v>29.6</v>
      </c>
      <c r="F117" s="12">
        <v>11.8</v>
      </c>
      <c r="G117" s="12">
        <v>30</v>
      </c>
      <c r="H117" s="12">
        <v>0.47</v>
      </c>
    </row>
    <row r="118" spans="1:8" s="11" customFormat="1">
      <c r="A118" s="12" t="s">
        <v>177</v>
      </c>
      <c r="B118" s="12">
        <v>0</v>
      </c>
      <c r="C118" s="12">
        <v>2.5</v>
      </c>
      <c r="D118" s="12" t="s">
        <v>379</v>
      </c>
      <c r="E118" s="12">
        <v>59.1</v>
      </c>
      <c r="F118" s="12">
        <v>10.8</v>
      </c>
      <c r="G118" s="12">
        <v>21</v>
      </c>
      <c r="H118" s="12">
        <v>0.64</v>
      </c>
    </row>
    <row r="119" spans="1:8" s="11" customFormat="1">
      <c r="A119" s="12" t="s">
        <v>177</v>
      </c>
      <c r="B119" s="12">
        <v>2.5</v>
      </c>
      <c r="C119" s="12">
        <v>5</v>
      </c>
      <c r="D119" s="12" t="s">
        <v>380</v>
      </c>
      <c r="E119" s="12">
        <v>36</v>
      </c>
      <c r="F119" s="12">
        <v>9.3699999999999992</v>
      </c>
      <c r="G119" s="12">
        <v>21</v>
      </c>
      <c r="H119" s="12">
        <v>0.53</v>
      </c>
    </row>
    <row r="120" spans="1:8" s="11" customFormat="1">
      <c r="A120" s="12" t="s">
        <v>177</v>
      </c>
      <c r="B120" s="12">
        <v>5</v>
      </c>
      <c r="C120" s="12">
        <v>10</v>
      </c>
      <c r="D120" s="12" t="s">
        <v>381</v>
      </c>
      <c r="E120" s="12">
        <v>82.9</v>
      </c>
      <c r="F120" s="16">
        <v>11</v>
      </c>
      <c r="G120" s="12">
        <v>21</v>
      </c>
      <c r="H120" s="12">
        <v>0.77</v>
      </c>
    </row>
    <row r="121" spans="1:8" s="11" customFormat="1">
      <c r="A121" s="12" t="s">
        <v>177</v>
      </c>
      <c r="B121" s="12">
        <v>10</v>
      </c>
      <c r="C121" s="12">
        <v>15</v>
      </c>
      <c r="D121" s="12" t="s">
        <v>382</v>
      </c>
      <c r="E121" s="12">
        <v>71.099999999999994</v>
      </c>
      <c r="F121" s="16">
        <v>11</v>
      </c>
      <c r="G121" s="12">
        <v>21</v>
      </c>
      <c r="H121" s="12">
        <v>0.72</v>
      </c>
    </row>
    <row r="122" spans="1:8" s="11" customFormat="1">
      <c r="A122" s="12" t="s">
        <v>85</v>
      </c>
      <c r="B122" s="12">
        <v>0</v>
      </c>
      <c r="C122" s="12">
        <v>2.5</v>
      </c>
      <c r="D122" s="12" t="s">
        <v>389</v>
      </c>
      <c r="E122" s="12">
        <v>80.7</v>
      </c>
      <c r="F122" s="12">
        <v>17</v>
      </c>
      <c r="G122" s="12">
        <v>24</v>
      </c>
      <c r="H122" s="12">
        <v>0.72</v>
      </c>
    </row>
    <row r="123" spans="1:8" s="11" customFormat="1">
      <c r="A123" s="12" t="s">
        <v>85</v>
      </c>
      <c r="B123" s="12">
        <v>2.5</v>
      </c>
      <c r="C123" s="12">
        <v>5</v>
      </c>
      <c r="D123" s="12" t="s">
        <v>390</v>
      </c>
      <c r="E123" s="12">
        <v>85.4</v>
      </c>
      <c r="F123" s="12">
        <v>12.8</v>
      </c>
      <c r="G123" s="12">
        <v>24</v>
      </c>
      <c r="H123" s="12">
        <v>0.81</v>
      </c>
    </row>
    <row r="124" spans="1:8" s="11" customFormat="1">
      <c r="A124" s="12" t="s">
        <v>85</v>
      </c>
      <c r="B124" s="12">
        <v>5</v>
      </c>
      <c r="C124" s="12">
        <v>10</v>
      </c>
      <c r="D124" s="12" t="s">
        <v>391</v>
      </c>
      <c r="E124" s="12">
        <v>120.1</v>
      </c>
      <c r="F124" s="12">
        <v>12.8</v>
      </c>
      <c r="G124" s="12">
        <v>24</v>
      </c>
      <c r="H124" s="12">
        <v>0.93</v>
      </c>
    </row>
    <row r="125" spans="1:8" s="11" customFormat="1">
      <c r="A125" s="12" t="s">
        <v>85</v>
      </c>
      <c r="B125" s="12">
        <v>10</v>
      </c>
      <c r="C125" s="12">
        <v>15</v>
      </c>
      <c r="D125" s="12" t="s">
        <v>392</v>
      </c>
      <c r="E125" s="12">
        <v>79.099999999999994</v>
      </c>
      <c r="F125" s="12">
        <v>12.1</v>
      </c>
      <c r="G125" s="12">
        <v>24</v>
      </c>
      <c r="H125" s="12">
        <v>0.92</v>
      </c>
    </row>
    <row r="126" spans="1:8" s="11" customFormat="1">
      <c r="A126" s="12" t="s">
        <v>176</v>
      </c>
      <c r="B126" s="12">
        <v>0</v>
      </c>
      <c r="C126" s="12">
        <v>2.5</v>
      </c>
      <c r="D126" s="12" t="s">
        <v>396</v>
      </c>
      <c r="E126" s="12">
        <v>48.7</v>
      </c>
      <c r="F126" s="12">
        <v>9.8000000000000007</v>
      </c>
      <c r="G126" s="12">
        <v>33</v>
      </c>
      <c r="H126" s="12">
        <v>0.54100000000000004</v>
      </c>
    </row>
    <row r="127" spans="1:8" s="11" customFormat="1">
      <c r="A127" s="12" t="s">
        <v>176</v>
      </c>
      <c r="B127" s="12">
        <v>2.5</v>
      </c>
      <c r="C127" s="12">
        <v>5</v>
      </c>
      <c r="D127" s="12" t="s">
        <v>395</v>
      </c>
      <c r="E127" s="12">
        <v>49.7</v>
      </c>
      <c r="F127" s="12">
        <v>11.5</v>
      </c>
      <c r="G127" s="12">
        <v>33</v>
      </c>
      <c r="H127" s="12">
        <v>0.45</v>
      </c>
    </row>
    <row r="128" spans="1:8" s="11" customFormat="1">
      <c r="A128" s="12" t="s">
        <v>176</v>
      </c>
      <c r="B128" s="12">
        <v>5</v>
      </c>
      <c r="C128" s="12">
        <v>10</v>
      </c>
      <c r="D128" s="12" t="s">
        <v>397</v>
      </c>
      <c r="E128" s="12">
        <v>47.9</v>
      </c>
      <c r="F128" s="12">
        <v>14.4</v>
      </c>
      <c r="G128" s="12">
        <v>33</v>
      </c>
      <c r="H128" s="12">
        <v>0.37</v>
      </c>
    </row>
    <row r="129" spans="1:8" s="11" customFormat="1">
      <c r="A129" s="12" t="s">
        <v>176</v>
      </c>
      <c r="B129" s="12">
        <v>10</v>
      </c>
      <c r="C129" s="12">
        <v>15</v>
      </c>
      <c r="D129" s="12" t="s">
        <v>398</v>
      </c>
      <c r="E129" s="12">
        <v>34.200000000000003</v>
      </c>
      <c r="F129" s="12">
        <v>9.19</v>
      </c>
      <c r="G129" s="12">
        <v>33</v>
      </c>
      <c r="H129" s="12">
        <v>0.42</v>
      </c>
    </row>
    <row r="130" spans="1:8" s="11" customFormat="1">
      <c r="A130" s="12" t="s">
        <v>180</v>
      </c>
      <c r="B130" s="12">
        <v>0</v>
      </c>
      <c r="C130" s="12">
        <v>2.5</v>
      </c>
      <c r="D130" s="12" t="s">
        <v>400</v>
      </c>
      <c r="E130" s="12">
        <v>38.9</v>
      </c>
      <c r="F130" s="12">
        <v>7.7</v>
      </c>
      <c r="G130" s="12">
        <v>24</v>
      </c>
      <c r="H130" s="12">
        <v>0.83</v>
      </c>
    </row>
    <row r="131" spans="1:8">
      <c r="A131" s="12" t="s">
        <v>180</v>
      </c>
      <c r="B131" s="12">
        <v>2.5</v>
      </c>
      <c r="C131" s="12">
        <v>5</v>
      </c>
      <c r="D131" s="12" t="s">
        <v>401</v>
      </c>
      <c r="E131" s="12">
        <v>19.7</v>
      </c>
      <c r="F131" s="12">
        <v>5.3</v>
      </c>
      <c r="G131" s="12">
        <v>24</v>
      </c>
      <c r="H131" s="12">
        <v>0.76</v>
      </c>
    </row>
    <row r="132" spans="1:8">
      <c r="A132" s="12" t="s">
        <v>180</v>
      </c>
      <c r="B132" s="12">
        <v>5</v>
      </c>
      <c r="C132" s="12">
        <v>10</v>
      </c>
      <c r="D132" s="12" t="s">
        <v>402</v>
      </c>
      <c r="E132" s="12">
        <v>13.8</v>
      </c>
      <c r="F132" s="12">
        <v>10.8</v>
      </c>
      <c r="G132" s="12">
        <v>24</v>
      </c>
      <c r="H132" s="12">
        <v>0.86</v>
      </c>
    </row>
    <row r="133" spans="1:8">
      <c r="A133" s="12" t="s">
        <v>180</v>
      </c>
      <c r="B133" s="12">
        <v>10</v>
      </c>
      <c r="C133" s="12">
        <v>15</v>
      </c>
      <c r="D133" s="12" t="s">
        <v>403</v>
      </c>
      <c r="E133" s="12">
        <v>33.1</v>
      </c>
      <c r="F133" s="12">
        <v>9.4</v>
      </c>
      <c r="G133" s="12">
        <v>24</v>
      </c>
      <c r="H133" s="12">
        <v>0.83</v>
      </c>
    </row>
    <row r="134" spans="1:8">
      <c r="A134" s="17" t="s">
        <v>201</v>
      </c>
      <c r="B134" s="12">
        <v>0</v>
      </c>
      <c r="C134" s="12">
        <v>2.5</v>
      </c>
      <c r="D134" s="17" t="s">
        <v>406</v>
      </c>
      <c r="E134" s="17">
        <v>22.7</v>
      </c>
      <c r="F134" s="12">
        <v>2.56</v>
      </c>
      <c r="G134" s="12">
        <v>24</v>
      </c>
      <c r="H134" s="12">
        <v>0.82</v>
      </c>
    </row>
    <row r="135" spans="1:8">
      <c r="A135" s="17" t="s">
        <v>201</v>
      </c>
      <c r="B135" s="12">
        <v>2.5</v>
      </c>
      <c r="C135" s="12">
        <v>5</v>
      </c>
      <c r="D135" s="17" t="s">
        <v>407</v>
      </c>
      <c r="E135" s="17">
        <v>13.2</v>
      </c>
      <c r="F135" s="12">
        <v>3.7</v>
      </c>
      <c r="G135" s="12">
        <v>24</v>
      </c>
      <c r="H135" s="12">
        <v>0.53</v>
      </c>
    </row>
    <row r="136" spans="1:8">
      <c r="A136" s="17" t="s">
        <v>201</v>
      </c>
      <c r="B136" s="12">
        <v>5</v>
      </c>
      <c r="C136" s="12">
        <v>10</v>
      </c>
      <c r="D136" s="17" t="s">
        <v>408</v>
      </c>
      <c r="E136" s="17">
        <v>31.1</v>
      </c>
      <c r="F136" s="12">
        <v>7.5</v>
      </c>
      <c r="G136" s="12">
        <v>24</v>
      </c>
      <c r="H136" s="12">
        <v>0.61</v>
      </c>
    </row>
    <row r="137" spans="1:8">
      <c r="A137" s="17" t="s">
        <v>201</v>
      </c>
      <c r="B137" s="12">
        <v>10</v>
      </c>
      <c r="C137" s="12">
        <v>15</v>
      </c>
      <c r="D137" s="17" t="s">
        <v>409</v>
      </c>
      <c r="E137" s="17">
        <v>29.8</v>
      </c>
      <c r="F137" s="12">
        <v>8.4</v>
      </c>
      <c r="G137" s="12">
        <v>24</v>
      </c>
      <c r="H137" s="12">
        <v>0.6</v>
      </c>
    </row>
    <row r="138" spans="1:8">
      <c r="A138" s="12" t="s">
        <v>181</v>
      </c>
      <c r="B138" s="12">
        <v>0</v>
      </c>
      <c r="C138" s="12">
        <v>2.5</v>
      </c>
      <c r="D138" s="12" t="s">
        <v>412</v>
      </c>
      <c r="E138" s="12">
        <v>142.69999999999999</v>
      </c>
      <c r="F138" s="12">
        <v>22.7</v>
      </c>
      <c r="G138" s="12">
        <v>30</v>
      </c>
      <c r="H138" s="12">
        <v>0.62</v>
      </c>
    </row>
    <row r="139" spans="1:8">
      <c r="A139" s="12" t="s">
        <v>181</v>
      </c>
      <c r="B139" s="12">
        <v>2.5</v>
      </c>
      <c r="C139" s="12">
        <v>5</v>
      </c>
      <c r="D139" s="12" t="s">
        <v>413</v>
      </c>
      <c r="E139" s="12">
        <v>79.099999999999994</v>
      </c>
      <c r="F139" s="12">
        <v>13.3</v>
      </c>
      <c r="G139" s="12">
        <v>30</v>
      </c>
      <c r="H139" s="12">
        <v>0.57999999999999996</v>
      </c>
    </row>
    <row r="140" spans="1:8">
      <c r="A140" s="12" t="s">
        <v>181</v>
      </c>
      <c r="B140" s="12">
        <v>5</v>
      </c>
      <c r="C140" s="12">
        <v>10</v>
      </c>
      <c r="D140" s="12" t="s">
        <v>414</v>
      </c>
      <c r="E140" s="12">
        <v>86.03</v>
      </c>
      <c r="F140" s="12">
        <v>16.5</v>
      </c>
      <c r="G140" s="12">
        <v>30</v>
      </c>
      <c r="H140" s="12">
        <v>0.53</v>
      </c>
    </row>
    <row r="141" spans="1:8">
      <c r="A141" s="12" t="s">
        <v>181</v>
      </c>
      <c r="B141" s="12">
        <v>10</v>
      </c>
      <c r="C141" s="12">
        <v>15</v>
      </c>
      <c r="D141" s="12" t="s">
        <v>415</v>
      </c>
      <c r="E141" s="12">
        <v>50.9</v>
      </c>
      <c r="F141" s="12">
        <v>12.4</v>
      </c>
      <c r="G141" s="12">
        <v>30</v>
      </c>
      <c r="H141" s="12">
        <v>0.44</v>
      </c>
    </row>
    <row r="142" spans="1:8">
      <c r="A142" s="12" t="s">
        <v>183</v>
      </c>
      <c r="B142" s="12">
        <v>0</v>
      </c>
      <c r="C142" s="12">
        <v>2.5</v>
      </c>
      <c r="D142" s="12" t="s">
        <v>417</v>
      </c>
      <c r="E142" s="12">
        <v>21.1</v>
      </c>
      <c r="F142" s="12">
        <v>12.8</v>
      </c>
      <c r="G142" s="12">
        <v>30</v>
      </c>
      <c r="H142" s="12">
        <v>0.53</v>
      </c>
    </row>
    <row r="143" spans="1:8">
      <c r="A143" s="12" t="s">
        <v>183</v>
      </c>
      <c r="B143" s="12">
        <v>2.5</v>
      </c>
      <c r="C143" s="12">
        <v>5</v>
      </c>
      <c r="D143" s="12" t="s">
        <v>416</v>
      </c>
      <c r="E143" s="12">
        <v>8.4</v>
      </c>
      <c r="F143" s="12">
        <v>6.8</v>
      </c>
      <c r="G143" s="12">
        <v>30</v>
      </c>
      <c r="H143" s="12">
        <v>0.43</v>
      </c>
    </row>
    <row r="144" spans="1:8">
      <c r="A144" s="12" t="s">
        <v>183</v>
      </c>
      <c r="B144" s="12">
        <v>5</v>
      </c>
      <c r="C144" s="12">
        <v>10</v>
      </c>
      <c r="D144" s="12" t="s">
        <v>418</v>
      </c>
      <c r="E144" s="12">
        <v>40.4</v>
      </c>
      <c r="F144" s="12">
        <v>15.2</v>
      </c>
      <c r="G144" s="12">
        <v>30</v>
      </c>
      <c r="H144" s="12">
        <v>0.45</v>
      </c>
    </row>
    <row r="145" spans="1:8">
      <c r="A145" s="12" t="s">
        <v>183</v>
      </c>
      <c r="B145" s="12">
        <v>10</v>
      </c>
      <c r="C145" s="12">
        <v>15</v>
      </c>
      <c r="D145" s="12" t="s">
        <v>419</v>
      </c>
      <c r="E145" s="12">
        <v>34.799999999999997</v>
      </c>
      <c r="F145" s="12">
        <v>18.100000000000001</v>
      </c>
      <c r="G145" s="12">
        <v>30</v>
      </c>
      <c r="H145" s="12">
        <v>0.42</v>
      </c>
    </row>
    <row r="146" spans="1:8">
      <c r="A146" s="12" t="s">
        <v>178</v>
      </c>
      <c r="B146" s="12">
        <v>0</v>
      </c>
      <c r="C146" s="12">
        <v>2.5</v>
      </c>
      <c r="D146" s="12" t="s">
        <v>424</v>
      </c>
      <c r="E146" s="12">
        <v>60.6</v>
      </c>
      <c r="F146" s="12">
        <v>6.61</v>
      </c>
      <c r="G146" s="12">
        <v>27</v>
      </c>
      <c r="H146" s="12">
        <v>0.81</v>
      </c>
    </row>
    <row r="147" spans="1:8">
      <c r="A147" s="12" t="s">
        <v>178</v>
      </c>
      <c r="B147" s="12">
        <v>2.5</v>
      </c>
      <c r="C147" s="12">
        <v>5</v>
      </c>
      <c r="D147" s="12" t="s">
        <v>425</v>
      </c>
      <c r="E147" s="12">
        <v>25.8</v>
      </c>
      <c r="F147" s="12">
        <v>3.8</v>
      </c>
      <c r="G147" s="12">
        <v>27</v>
      </c>
      <c r="H147" s="12">
        <v>0.83</v>
      </c>
    </row>
    <row r="148" spans="1:8">
      <c r="A148" s="12" t="s">
        <v>178</v>
      </c>
      <c r="B148" s="12">
        <v>5</v>
      </c>
      <c r="C148" s="12">
        <v>10</v>
      </c>
      <c r="D148" s="12" t="s">
        <v>426</v>
      </c>
      <c r="E148" s="12">
        <v>52.3</v>
      </c>
      <c r="F148" s="12">
        <v>3.7</v>
      </c>
      <c r="G148" s="12">
        <v>27</v>
      </c>
      <c r="H148" s="12">
        <v>0.94</v>
      </c>
    </row>
    <row r="149" spans="1:8">
      <c r="A149" s="12" t="s">
        <v>178</v>
      </c>
      <c r="B149" s="12">
        <v>10</v>
      </c>
      <c r="C149" s="12">
        <v>15</v>
      </c>
      <c r="D149" s="12" t="s">
        <v>427</v>
      </c>
      <c r="E149" s="12">
        <v>51.5</v>
      </c>
      <c r="F149" s="12">
        <v>4.5999999999999996</v>
      </c>
      <c r="G149" s="12">
        <v>27</v>
      </c>
      <c r="H149" s="12">
        <v>0.88</v>
      </c>
    </row>
    <row r="150" spans="1:8">
      <c r="A150" s="12" t="s">
        <v>182</v>
      </c>
      <c r="B150" s="12">
        <v>0</v>
      </c>
      <c r="C150" s="12">
        <v>2.5</v>
      </c>
      <c r="D150" s="12" t="s">
        <v>430</v>
      </c>
      <c r="E150" s="12">
        <v>65.900000000000006</v>
      </c>
      <c r="F150" s="12">
        <v>10.3</v>
      </c>
      <c r="G150" s="12">
        <v>33</v>
      </c>
      <c r="H150" s="12">
        <v>0.68</v>
      </c>
    </row>
    <row r="151" spans="1:8">
      <c r="A151" s="12" t="s">
        <v>182</v>
      </c>
      <c r="B151" s="12">
        <v>2.5</v>
      </c>
      <c r="C151" s="12">
        <v>5</v>
      </c>
      <c r="D151" s="12" t="s">
        <v>431</v>
      </c>
      <c r="E151" s="12">
        <v>46.6</v>
      </c>
      <c r="F151" s="12">
        <v>10.5</v>
      </c>
      <c r="G151" s="12">
        <v>33</v>
      </c>
      <c r="H151" s="12">
        <v>0.56999999999999995</v>
      </c>
    </row>
    <row r="152" spans="1:8">
      <c r="A152" s="12" t="s">
        <v>182</v>
      </c>
      <c r="B152" s="12">
        <v>5</v>
      </c>
      <c r="C152" s="12">
        <v>10</v>
      </c>
      <c r="D152" s="12" t="s">
        <v>432</v>
      </c>
      <c r="E152" s="12">
        <v>95.2</v>
      </c>
      <c r="F152" s="12">
        <v>21.5</v>
      </c>
      <c r="G152" s="12">
        <v>33</v>
      </c>
      <c r="H152" s="12">
        <v>0.55000000000000004</v>
      </c>
    </row>
    <row r="153" spans="1:8">
      <c r="A153" s="12" t="s">
        <v>182</v>
      </c>
      <c r="B153" s="12">
        <v>10</v>
      </c>
      <c r="C153" s="12">
        <v>15</v>
      </c>
      <c r="D153" s="12" t="s">
        <v>433</v>
      </c>
      <c r="E153" s="12">
        <v>62.5</v>
      </c>
      <c r="F153" s="12">
        <v>14.1</v>
      </c>
      <c r="G153" s="12">
        <v>33</v>
      </c>
      <c r="H153" s="12">
        <v>0.68</v>
      </c>
    </row>
    <row r="154" spans="1:8">
      <c r="A154" t="s">
        <v>205</v>
      </c>
      <c r="B154">
        <v>0</v>
      </c>
      <c r="C154">
        <v>2.5</v>
      </c>
      <c r="D154" t="s">
        <v>239</v>
      </c>
      <c r="E154">
        <v>0.154</v>
      </c>
      <c r="F154">
        <v>2.415</v>
      </c>
      <c r="G154">
        <v>212</v>
      </c>
    </row>
    <row r="155" spans="1:8">
      <c r="A155" t="s">
        <v>205</v>
      </c>
      <c r="B155">
        <v>2.5</v>
      </c>
      <c r="C155">
        <v>7.6</v>
      </c>
      <c r="D155" t="s">
        <v>240</v>
      </c>
      <c r="E155">
        <v>27.7</v>
      </c>
      <c r="F155">
        <v>15</v>
      </c>
      <c r="G155">
        <v>212</v>
      </c>
    </row>
    <row r="156" spans="1:8">
      <c r="A156" t="s">
        <v>225</v>
      </c>
      <c r="B156">
        <v>0</v>
      </c>
      <c r="C156">
        <v>15</v>
      </c>
      <c r="D156" t="s">
        <v>208</v>
      </c>
      <c r="E156">
        <v>67</v>
      </c>
      <c r="F156">
        <v>10</v>
      </c>
      <c r="G156">
        <v>36</v>
      </c>
    </row>
    <row r="157" spans="1:8">
      <c r="A157" s="17" t="s">
        <v>193</v>
      </c>
      <c r="B157" s="17">
        <v>0</v>
      </c>
      <c r="C157" s="17">
        <v>10</v>
      </c>
      <c r="D157" s="17" t="s">
        <v>435</v>
      </c>
      <c r="E157" s="17">
        <v>20.8</v>
      </c>
      <c r="F157" s="17">
        <v>3.18</v>
      </c>
      <c r="G157" s="12">
        <v>38</v>
      </c>
      <c r="H157" s="12">
        <v>0.54</v>
      </c>
    </row>
    <row r="158" spans="1:8">
      <c r="A158" s="17" t="s">
        <v>193</v>
      </c>
      <c r="B158" s="17">
        <v>10</v>
      </c>
      <c r="C158" s="17">
        <v>20</v>
      </c>
      <c r="D158" s="17" t="s">
        <v>436</v>
      </c>
      <c r="E158" s="17">
        <v>24.7</v>
      </c>
      <c r="F158" s="17">
        <v>3.42</v>
      </c>
      <c r="G158" s="12">
        <v>34</v>
      </c>
      <c r="H158" s="12">
        <v>0.62</v>
      </c>
    </row>
    <row r="159" spans="1:8">
      <c r="A159" s="17" t="s">
        <v>193</v>
      </c>
      <c r="B159" s="17">
        <v>20</v>
      </c>
      <c r="C159" s="17">
        <v>30</v>
      </c>
      <c r="D159" s="17" t="s">
        <v>437</v>
      </c>
      <c r="E159" s="17">
        <v>17.3</v>
      </c>
      <c r="F159" s="17">
        <v>5.46</v>
      </c>
      <c r="G159" s="12">
        <v>23</v>
      </c>
      <c r="H159" s="12">
        <v>0.32</v>
      </c>
    </row>
    <row r="160" spans="1:8">
      <c r="A160" s="17" t="s">
        <v>193</v>
      </c>
      <c r="B160" s="17">
        <v>30</v>
      </c>
      <c r="C160" s="17">
        <v>40</v>
      </c>
      <c r="D160" s="17" t="s">
        <v>438</v>
      </c>
      <c r="E160" s="17">
        <v>9.9</v>
      </c>
      <c r="F160" s="17">
        <v>4.33</v>
      </c>
      <c r="G160" s="12">
        <v>20</v>
      </c>
      <c r="H160" s="12">
        <v>0.23</v>
      </c>
    </row>
    <row r="161" spans="1:8">
      <c r="A161" s="12" t="s">
        <v>195</v>
      </c>
      <c r="B161" s="12">
        <v>0</v>
      </c>
      <c r="C161" s="12">
        <v>20</v>
      </c>
      <c r="D161" s="12" t="s">
        <v>126</v>
      </c>
      <c r="E161" s="12">
        <v>70</v>
      </c>
      <c r="F161" s="12">
        <v>37</v>
      </c>
      <c r="G161" s="12">
        <v>5</v>
      </c>
      <c r="H161" s="11"/>
    </row>
    <row r="162" spans="1:8">
      <c r="A162" s="12" t="s">
        <v>194</v>
      </c>
      <c r="B162" s="12">
        <v>0</v>
      </c>
      <c r="C162" s="12">
        <v>20</v>
      </c>
      <c r="D162" s="12" t="s">
        <v>125</v>
      </c>
      <c r="E162" s="12">
        <v>143</v>
      </c>
      <c r="F162" s="12">
        <v>20</v>
      </c>
      <c r="G162" s="12">
        <v>4</v>
      </c>
      <c r="H162" s="11"/>
    </row>
    <row r="163" spans="1:8">
      <c r="A163" t="s">
        <v>469</v>
      </c>
      <c r="B163" s="12">
        <v>0</v>
      </c>
      <c r="C163" s="12">
        <v>10</v>
      </c>
      <c r="D163" s="12" t="s">
        <v>500</v>
      </c>
      <c r="E163" s="12">
        <v>18.5</v>
      </c>
      <c r="F163" s="12">
        <v>4.5</v>
      </c>
      <c r="G163" s="12">
        <v>21</v>
      </c>
      <c r="H163" s="8">
        <v>0.47</v>
      </c>
    </row>
    <row r="164" spans="1:8">
      <c r="A164" t="s">
        <v>469</v>
      </c>
      <c r="B164" s="12">
        <v>10</v>
      </c>
      <c r="C164" s="12">
        <v>30</v>
      </c>
      <c r="D164" s="12" t="s">
        <v>501</v>
      </c>
      <c r="E164" s="12">
        <v>87.3</v>
      </c>
      <c r="F164" s="12">
        <v>27.5</v>
      </c>
      <c r="G164" s="12">
        <v>21</v>
      </c>
      <c r="H164" s="12">
        <v>0.35</v>
      </c>
    </row>
    <row r="165" spans="1:8">
      <c r="A165" t="s">
        <v>470</v>
      </c>
      <c r="B165" s="12">
        <v>0</v>
      </c>
      <c r="C165" s="12">
        <v>10</v>
      </c>
      <c r="D165" s="12" t="s">
        <v>502</v>
      </c>
      <c r="E165" s="12">
        <v>10.1</v>
      </c>
      <c r="F165" s="12">
        <v>3.81</v>
      </c>
      <c r="G165" s="12">
        <v>30</v>
      </c>
      <c r="H165" s="12">
        <v>0.2</v>
      </c>
    </row>
    <row r="166" spans="1:8">
      <c r="A166" t="s">
        <v>470</v>
      </c>
      <c r="B166" s="12">
        <v>10</v>
      </c>
      <c r="C166" s="12">
        <v>30</v>
      </c>
      <c r="D166" s="12" t="s">
        <v>503</v>
      </c>
      <c r="E166" s="12">
        <v>76.3</v>
      </c>
      <c r="F166" s="12">
        <v>23.5</v>
      </c>
      <c r="G166" s="12">
        <v>30</v>
      </c>
      <c r="H166" s="12">
        <v>0.27</v>
      </c>
    </row>
    <row r="167" spans="1:8">
      <c r="A167" t="s">
        <v>471</v>
      </c>
      <c r="B167" s="12">
        <v>0</v>
      </c>
      <c r="C167" s="12">
        <v>10</v>
      </c>
      <c r="D167" s="12" t="s">
        <v>504</v>
      </c>
      <c r="E167" s="12">
        <v>1.2</v>
      </c>
      <c r="F167" s="12">
        <v>4.5999999999999996</v>
      </c>
      <c r="G167" s="12">
        <v>21</v>
      </c>
      <c r="H167" s="12">
        <v>0</v>
      </c>
    </row>
    <row r="168" spans="1:8">
      <c r="A168" t="s">
        <v>471</v>
      </c>
      <c r="B168" s="12">
        <v>10</v>
      </c>
      <c r="C168" s="12">
        <v>30</v>
      </c>
      <c r="D168" s="12" t="s">
        <v>505</v>
      </c>
      <c r="E168" s="12">
        <v>52</v>
      </c>
      <c r="F168" s="12">
        <v>19.7</v>
      </c>
      <c r="G168" s="12">
        <v>21</v>
      </c>
      <c r="H168" s="12">
        <v>0.27</v>
      </c>
    </row>
    <row r="169" spans="1:8">
      <c r="A169" t="s">
        <v>474</v>
      </c>
      <c r="B169" s="12">
        <v>0</v>
      </c>
      <c r="C169" s="12">
        <v>10</v>
      </c>
      <c r="D169" s="12" t="s">
        <v>506</v>
      </c>
      <c r="E169" s="12">
        <v>3.6</v>
      </c>
      <c r="F169" s="12">
        <v>16.600000000000001</v>
      </c>
      <c r="G169" s="12">
        <v>19</v>
      </c>
      <c r="H169" s="12">
        <v>0</v>
      </c>
    </row>
    <row r="170" spans="1:8">
      <c r="A170" t="s">
        <v>474</v>
      </c>
      <c r="B170" s="12">
        <v>10</v>
      </c>
      <c r="C170" s="12">
        <v>30</v>
      </c>
      <c r="D170" s="12" t="s">
        <v>507</v>
      </c>
      <c r="E170" s="12">
        <v>111</v>
      </c>
      <c r="F170" s="12">
        <v>108</v>
      </c>
      <c r="G170" s="12">
        <v>17</v>
      </c>
      <c r="H170" s="12">
        <v>7.0000000000000007E-2</v>
      </c>
    </row>
    <row r="171" spans="1:8">
      <c r="A171" t="s">
        <v>472</v>
      </c>
      <c r="B171" s="12">
        <v>0</v>
      </c>
      <c r="C171" s="12">
        <v>10</v>
      </c>
      <c r="D171" s="12" t="s">
        <v>508</v>
      </c>
      <c r="E171" s="12">
        <v>1.3</v>
      </c>
      <c r="F171" s="12">
        <v>11.6</v>
      </c>
      <c r="G171" s="12">
        <v>20</v>
      </c>
      <c r="H171" s="12">
        <v>0</v>
      </c>
    </row>
    <row r="172" spans="1:8">
      <c r="A172" t="s">
        <v>472</v>
      </c>
      <c r="B172" s="12">
        <v>10</v>
      </c>
      <c r="C172" s="12">
        <v>30</v>
      </c>
      <c r="D172" s="12" t="s">
        <v>509</v>
      </c>
      <c r="E172" s="12">
        <v>-14.2</v>
      </c>
      <c r="F172" s="12">
        <v>31.9</v>
      </c>
      <c r="G172" s="12">
        <v>20</v>
      </c>
      <c r="H172" s="12">
        <v>0.01</v>
      </c>
    </row>
    <row r="173" spans="1:8">
      <c r="A173" t="s">
        <v>473</v>
      </c>
      <c r="B173" s="12">
        <v>0</v>
      </c>
      <c r="C173" s="12">
        <v>10</v>
      </c>
      <c r="D173" s="12" t="s">
        <v>510</v>
      </c>
      <c r="E173" s="12">
        <v>6.9</v>
      </c>
      <c r="F173" s="12">
        <v>9.98</v>
      </c>
      <c r="G173" s="12">
        <v>10</v>
      </c>
      <c r="H173" s="12">
        <v>0.06</v>
      </c>
    </row>
    <row r="174" spans="1:8">
      <c r="A174" t="s">
        <v>473</v>
      </c>
      <c r="B174" s="12">
        <v>10</v>
      </c>
      <c r="C174" s="12">
        <v>30</v>
      </c>
      <c r="D174" s="12" t="s">
        <v>511</v>
      </c>
      <c r="E174" s="12">
        <v>9.3000000000000007</v>
      </c>
      <c r="F174" s="12">
        <v>9.6999999999999993</v>
      </c>
      <c r="G174" s="12">
        <v>10</v>
      </c>
      <c r="H174" s="12">
        <v>0.1</v>
      </c>
    </row>
    <row r="175" spans="1:8">
      <c r="A175" s="12" t="s">
        <v>133</v>
      </c>
      <c r="B175" s="12">
        <v>0</v>
      </c>
      <c r="C175" s="12">
        <v>10</v>
      </c>
      <c r="D175" s="12" t="s">
        <v>135</v>
      </c>
      <c r="E175" s="12">
        <v>-52</v>
      </c>
      <c r="F175" s="12"/>
      <c r="G175" s="12">
        <v>2</v>
      </c>
      <c r="H175" s="11"/>
    </row>
  </sheetData>
  <sortState xmlns:xlrd2="http://schemas.microsoft.com/office/spreadsheetml/2017/richdata2" ref="A2:H175">
    <sortCondition ref="A2:A175"/>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0BBB5-AE98-4CC9-960A-A5D812DF1540}">
  <sheetPr>
    <pageSetUpPr fitToPage="1"/>
  </sheetPr>
  <dimension ref="A1:CL69"/>
  <sheetViews>
    <sheetView topLeftCell="B1" zoomScale="90" zoomScaleNormal="90" workbookViewId="0">
      <pane xSplit="6" ySplit="1" topLeftCell="H56" activePane="bottomRight" state="frozen"/>
      <selection activeCell="B1" sqref="B1"/>
      <selection pane="topRight" activeCell="H1" sqref="H1"/>
      <selection pane="bottomLeft" activeCell="B2" sqref="B2"/>
      <selection pane="bottomRight" activeCell="H57" sqref="H57"/>
    </sheetView>
  </sheetViews>
  <sheetFormatPr defaultColWidth="8.81640625" defaultRowHeight="14.5"/>
  <cols>
    <col min="1" max="1" width="33.453125" hidden="1" customWidth="1"/>
    <col min="2" max="2" width="37" customWidth="1"/>
    <col min="3" max="3" width="17.1796875" hidden="1" customWidth="1"/>
    <col min="4" max="4" width="17.453125" customWidth="1"/>
    <col min="5" max="5" width="36" customWidth="1"/>
    <col min="6" max="6" width="17.453125" customWidth="1"/>
    <col min="7" max="9" width="16.81640625" customWidth="1"/>
    <col min="10" max="10" width="7.81640625" customWidth="1"/>
    <col min="11" max="11" width="33.54296875" customWidth="1"/>
    <col min="12" max="12" width="17" customWidth="1"/>
    <col min="13" max="13" width="17.1796875" customWidth="1"/>
    <col min="14" max="14" width="10.54296875" customWidth="1"/>
    <col min="15" max="15" width="7.453125" customWidth="1"/>
    <col min="16" max="16" width="6" customWidth="1"/>
    <col min="17" max="17" width="5.453125" customWidth="1"/>
    <col min="18" max="19" width="40.54296875" customWidth="1"/>
    <col min="20" max="20" width="8.81640625" style="22"/>
    <col min="21" max="21" width="8.7265625" style="22" bestFit="1" customWidth="1"/>
    <col min="22" max="22" width="10.1796875" style="22" customWidth="1"/>
    <col min="23" max="23" width="9.81640625" style="22" customWidth="1"/>
    <col min="24" max="24" width="10.26953125" style="22" customWidth="1"/>
    <col min="25" max="25" width="10.1796875" style="22" customWidth="1"/>
    <col min="26" max="29" width="8.81640625" style="22"/>
    <col min="30" max="30" width="9.453125" style="22" customWidth="1"/>
    <col min="31" max="31" width="8.81640625" style="22"/>
    <col min="32" max="33" width="8.81640625" style="24"/>
    <col min="72" max="72" width="11.54296875" style="4" customWidth="1"/>
    <col min="73" max="73" width="32" style="4" customWidth="1"/>
    <col min="74" max="74" width="11.54296875" style="8" customWidth="1"/>
    <col min="75" max="75" width="18.1796875" customWidth="1"/>
    <col min="76" max="76" width="13.1796875" customWidth="1"/>
    <col min="77" max="80" width="11.1796875" customWidth="1"/>
    <col min="81" max="84" width="14.26953125" customWidth="1"/>
    <col min="85" max="85" width="15.1796875" style="4" customWidth="1"/>
    <col min="86" max="86" width="13.81640625" bestFit="1" customWidth="1"/>
    <col min="87" max="87" width="16.453125" bestFit="1" customWidth="1"/>
    <col min="88" max="88" width="18.54296875" style="4" customWidth="1"/>
    <col min="89" max="89" width="21.7265625" customWidth="1"/>
    <col min="90" max="90" width="15.1796875" style="4" customWidth="1"/>
    <col min="91" max="93" width="11.1796875" customWidth="1"/>
  </cols>
  <sheetData>
    <row r="1" spans="1:90" s="2" customFormat="1" ht="58">
      <c r="A1" s="1" t="s">
        <v>0</v>
      </c>
      <c r="B1" s="1" t="s">
        <v>1</v>
      </c>
      <c r="C1" s="1" t="s">
        <v>6</v>
      </c>
      <c r="D1" s="1" t="s">
        <v>174</v>
      </c>
      <c r="E1" s="1" t="s">
        <v>209</v>
      </c>
      <c r="F1" s="1" t="s">
        <v>220</v>
      </c>
      <c r="G1" s="1" t="s">
        <v>10</v>
      </c>
      <c r="H1" s="1" t="s">
        <v>34</v>
      </c>
      <c r="I1" s="1" t="s">
        <v>35</v>
      </c>
      <c r="J1" s="1" t="s">
        <v>40</v>
      </c>
      <c r="K1" s="1" t="s">
        <v>41</v>
      </c>
      <c r="L1" s="1" t="s">
        <v>442</v>
      </c>
      <c r="M1" s="1" t="s">
        <v>518</v>
      </c>
      <c r="N1" s="1" t="s">
        <v>440</v>
      </c>
      <c r="O1" s="1" t="s">
        <v>441</v>
      </c>
      <c r="P1" s="1" t="s">
        <v>117</v>
      </c>
      <c r="Q1" s="1" t="s">
        <v>118</v>
      </c>
      <c r="R1" s="1" t="s">
        <v>349</v>
      </c>
      <c r="S1" s="1" t="s">
        <v>546</v>
      </c>
      <c r="T1" s="21" t="s">
        <v>639</v>
      </c>
      <c r="U1" s="21" t="s">
        <v>640</v>
      </c>
      <c r="V1" s="21" t="s">
        <v>641</v>
      </c>
      <c r="W1" s="21" t="s">
        <v>642</v>
      </c>
      <c r="X1" s="21" t="s">
        <v>643</v>
      </c>
      <c r="Y1" s="21" t="s">
        <v>644</v>
      </c>
      <c r="Z1" s="21" t="s">
        <v>645</v>
      </c>
      <c r="AA1" s="21" t="s">
        <v>646</v>
      </c>
      <c r="AB1" s="21" t="s">
        <v>647</v>
      </c>
      <c r="AC1" s="21" t="s">
        <v>648</v>
      </c>
      <c r="AD1" s="21" t="s">
        <v>649</v>
      </c>
      <c r="AE1" s="21" t="s">
        <v>650</v>
      </c>
      <c r="AF1" s="23" t="s">
        <v>636</v>
      </c>
      <c r="AG1" s="23" t="s">
        <v>651</v>
      </c>
      <c r="AH1" s="2" t="s">
        <v>610</v>
      </c>
      <c r="AI1" s="2" t="s">
        <v>611</v>
      </c>
      <c r="AJ1" s="2" t="s">
        <v>612</v>
      </c>
      <c r="AK1" s="2" t="s">
        <v>613</v>
      </c>
      <c r="AL1" s="2" t="s">
        <v>614</v>
      </c>
      <c r="AM1" s="2" t="s">
        <v>615</v>
      </c>
      <c r="AN1" s="2" t="s">
        <v>616</v>
      </c>
      <c r="AO1" s="2" t="s">
        <v>617</v>
      </c>
      <c r="AP1" s="2" t="s">
        <v>618</v>
      </c>
      <c r="AQ1" s="2" t="s">
        <v>619</v>
      </c>
      <c r="AR1" s="2" t="s">
        <v>620</v>
      </c>
      <c r="AS1" s="2" t="s">
        <v>621</v>
      </c>
      <c r="AT1" s="2" t="s">
        <v>622</v>
      </c>
      <c r="AU1" s="2" t="s">
        <v>677</v>
      </c>
      <c r="AV1" s="2" t="s">
        <v>676</v>
      </c>
      <c r="AW1" s="2" t="s">
        <v>678</v>
      </c>
      <c r="AX1" s="2" t="s">
        <v>679</v>
      </c>
      <c r="AY1" s="2" t="s">
        <v>680</v>
      </c>
      <c r="AZ1" s="2" t="s">
        <v>681</v>
      </c>
      <c r="BA1" s="2" t="s">
        <v>682</v>
      </c>
      <c r="BB1" s="2" t="s">
        <v>683</v>
      </c>
      <c r="BC1" s="2" t="s">
        <v>684</v>
      </c>
      <c r="BD1" s="2" t="s">
        <v>685</v>
      </c>
      <c r="BE1" s="2" t="s">
        <v>686</v>
      </c>
      <c r="BF1" s="2" t="s">
        <v>687</v>
      </c>
      <c r="BG1" s="2" t="s">
        <v>688</v>
      </c>
      <c r="BH1" s="2" t="s">
        <v>623</v>
      </c>
      <c r="BI1" s="2" t="s">
        <v>624</v>
      </c>
      <c r="BJ1" s="2" t="s">
        <v>625</v>
      </c>
      <c r="BK1" s="2" t="s">
        <v>626</v>
      </c>
      <c r="BL1" s="2" t="s">
        <v>627</v>
      </c>
      <c r="BM1" s="2" t="s">
        <v>628</v>
      </c>
      <c r="BN1" s="2" t="s">
        <v>629</v>
      </c>
      <c r="BO1" s="2" t="s">
        <v>630</v>
      </c>
      <c r="BP1" s="2" t="s">
        <v>631</v>
      </c>
      <c r="BQ1" s="2" t="s">
        <v>632</v>
      </c>
      <c r="BR1" s="2" t="s">
        <v>633</v>
      </c>
      <c r="BS1" s="2" t="s">
        <v>634</v>
      </c>
      <c r="BT1" s="1" t="s">
        <v>635</v>
      </c>
      <c r="BU1" s="28" t="s">
        <v>652</v>
      </c>
      <c r="BV1" s="28" t="s">
        <v>667</v>
      </c>
      <c r="BW1" s="2" t="s">
        <v>659</v>
      </c>
      <c r="BX1" s="2" t="s">
        <v>782</v>
      </c>
      <c r="BY1" s="2" t="s">
        <v>783</v>
      </c>
      <c r="BZ1" s="2" t="s">
        <v>697</v>
      </c>
      <c r="CA1" s="2" t="s">
        <v>699</v>
      </c>
      <c r="CB1" s="2" t="s">
        <v>690</v>
      </c>
      <c r="CC1" s="2" t="s">
        <v>698</v>
      </c>
      <c r="CD1" s="2" t="s">
        <v>700</v>
      </c>
      <c r="CE1" s="2" t="s">
        <v>694</v>
      </c>
      <c r="CF1" s="2" t="s">
        <v>691</v>
      </c>
      <c r="CG1" s="28" t="s">
        <v>3</v>
      </c>
      <c r="CH1" s="2" t="s">
        <v>2</v>
      </c>
      <c r="CJ1" s="1"/>
      <c r="CL1" s="1"/>
    </row>
    <row r="2" spans="1:90">
      <c r="A2" t="s">
        <v>64</v>
      </c>
      <c r="B2" t="s">
        <v>138</v>
      </c>
      <c r="C2" t="s">
        <v>53</v>
      </c>
      <c r="D2" t="s">
        <v>175</v>
      </c>
      <c r="E2" t="s">
        <v>217</v>
      </c>
      <c r="F2" t="s">
        <v>226</v>
      </c>
      <c r="G2" t="s">
        <v>67</v>
      </c>
      <c r="H2">
        <v>-33.667518000000001</v>
      </c>
      <c r="I2">
        <v>-70.599805000000003</v>
      </c>
      <c r="J2" t="s">
        <v>65</v>
      </c>
      <c r="K2" t="s">
        <v>66</v>
      </c>
      <c r="L2" t="s">
        <v>445</v>
      </c>
      <c r="M2" t="s">
        <v>517</v>
      </c>
      <c r="N2">
        <v>0</v>
      </c>
      <c r="O2">
        <v>30</v>
      </c>
      <c r="P2">
        <v>0</v>
      </c>
      <c r="Q2">
        <v>2</v>
      </c>
      <c r="R2" t="s">
        <v>148</v>
      </c>
      <c r="S2" t="s">
        <v>574</v>
      </c>
      <c r="T2" s="22">
        <v>21</v>
      </c>
      <c r="U2" s="22">
        <v>20</v>
      </c>
      <c r="V2" s="22">
        <v>18</v>
      </c>
      <c r="W2" s="22">
        <v>15</v>
      </c>
      <c r="X2" s="22">
        <v>11</v>
      </c>
      <c r="Y2" s="22">
        <v>8</v>
      </c>
      <c r="Z2" s="22">
        <v>8</v>
      </c>
      <c r="AA2" s="22">
        <v>10</v>
      </c>
      <c r="AB2" s="22">
        <v>11</v>
      </c>
      <c r="AC2" s="22">
        <v>14</v>
      </c>
      <c r="AD2" s="22">
        <v>17</v>
      </c>
      <c r="AE2" s="22">
        <v>19</v>
      </c>
      <c r="AF2" s="24">
        <f t="shared" ref="AF2:AF33" si="0">IF(F2="Cool",5.5,7)</f>
        <v>5.5</v>
      </c>
      <c r="AG2" s="24">
        <f t="shared" ref="AG2:AG33" si="1">IF(F2="Cool",20,31)</f>
        <v>20</v>
      </c>
      <c r="AH2" s="25">
        <f t="shared" ref="AH2:AH33" si="2">EXP(-0.5*((T2-$AG2)/$AF2)^2)</f>
        <v>0.98360692753912782</v>
      </c>
      <c r="AI2" s="25">
        <f t="shared" ref="AI2:AI33" si="3">EXP(-0.5*((U2-$AG2)/$AF2)^2)</f>
        <v>1</v>
      </c>
      <c r="AJ2" s="25">
        <f t="shared" ref="AJ2:AJ33" si="4">EXP(-0.5*((V2-$AG2)/$AF2)^2)</f>
        <v>0.93602255789541478</v>
      </c>
      <c r="AK2" s="25">
        <f t="shared" ref="AK2:AK33" si="5">EXP(-0.5*((W2-$AG2)/$AF2)^2)</f>
        <v>0.66151465564937462</v>
      </c>
      <c r="AL2" s="25">
        <f t="shared" ref="AL2:AL33" si="6">EXP(-0.5*((X2-$AG2)/$AF2)^2)</f>
        <v>0.26214880584576306</v>
      </c>
      <c r="AM2" s="25">
        <f t="shared" ref="AM2:AM33" si="7">EXP(-0.5*((Y2-$AG2)/$AF2)^2)</f>
        <v>9.2535281158422036E-2</v>
      </c>
      <c r="AN2" s="25">
        <f t="shared" ref="AN2:AN33" si="8">EXP(-0.5*((Z2-$AG2)/$AF2)^2)</f>
        <v>9.2535281158422036E-2</v>
      </c>
      <c r="AO2" s="25">
        <f t="shared" ref="AO2:AO33" si="9">EXP(-0.5*((AA2-$AG2)/$AF2)^2)</f>
        <v>0.19149519501466308</v>
      </c>
      <c r="AP2" s="25">
        <f t="shared" ref="AP2:AP33" si="10">EXP(-0.5*((AB2-$AG2)/$AF2)^2)</f>
        <v>0.26214880584576306</v>
      </c>
      <c r="AQ2" s="25">
        <f t="shared" ref="AQ2:AQ33" si="11">EXP(-0.5*((AC2-$AG2)/$AF2)^2)</f>
        <v>0.5515397744971644</v>
      </c>
      <c r="AR2" s="25">
        <f t="shared" ref="AR2:AR33" si="12">EXP(-0.5*((AD2-$AG2)/$AF2)^2)</f>
        <v>0.86177563141715641</v>
      </c>
      <c r="AS2" s="25">
        <f t="shared" ref="AS2:AS33" si="13">EXP(-0.5*((AE2-$AG2)/$AF2)^2)</f>
        <v>0.98360692753912782</v>
      </c>
      <c r="AT2">
        <v>1</v>
      </c>
      <c r="AU2">
        <v>7</v>
      </c>
      <c r="AV2" s="31">
        <f t="shared" ref="AV2:AV33" si="14">ROUND(IF(AH2&gt;=0.75,$AU2,IF(AH2&gt;=0.5,$AU2/0.7,IF(AH2&gt;=0.2,$AU2/0.5,0))),2)</f>
        <v>7</v>
      </c>
      <c r="AW2" s="31">
        <f t="shared" ref="AW2:AW33" si="15">ROUND(IF(AI2&gt;=0.75,$AU2,IF(AI2&gt;=0.5,$AU2/0.7,IF(AI2&gt;=0.2,$AU2/0.5,0))),2)</f>
        <v>7</v>
      </c>
      <c r="AX2" s="31">
        <f t="shared" ref="AX2:AX33" si="16">ROUND(IF(AJ2&gt;=0.75,$AU2,IF(AJ2&gt;=0.5,$AU2/0.7,IF(AJ2&gt;=0.2,$AU2/0.5,0))),2)</f>
        <v>7</v>
      </c>
      <c r="AY2" s="31">
        <f t="shared" ref="AY2:AY33" si="17">ROUND(IF(AK2&gt;=0.75,$AU2,IF(AK2&gt;=0.5,$AU2/0.7,IF(AK2&gt;=0.2,$AU2/0.5,0))),2)</f>
        <v>10</v>
      </c>
      <c r="AZ2" s="31">
        <f t="shared" ref="AZ2:AZ33" si="18">ROUND(IF(AL2&gt;=0.75,$AU2,IF(AL2&gt;=0.5,$AU2/0.7,IF(AL2&gt;=0.2,$AU2/0.5,0))),2)</f>
        <v>14</v>
      </c>
      <c r="BA2" s="31">
        <f t="shared" ref="BA2:BA33" si="19">ROUND(IF(AM2&gt;=0.75,$AU2,IF(AM2&gt;=0.5,$AU2/0.7,IF(AM2&gt;=0.2,$AU2/0.5,0))),2)</f>
        <v>0</v>
      </c>
      <c r="BB2" s="31">
        <f t="shared" ref="BB2:BB33" si="20">ROUND(IF(AN2&gt;=0.75,$AU2,IF(AN2&gt;=0.5,$AU2/0.7,IF(AN2&gt;=0.2,$AU2/0.5,0))),2)</f>
        <v>0</v>
      </c>
      <c r="BC2" s="31">
        <f t="shared" ref="BC2:BC33" si="21">ROUND(IF(AO2&gt;=0.75,$AU2,IF(AO2&gt;=0.5,$AU2/0.7,IF(AO2&gt;=0.2,$AU2/0.5,0))),2)</f>
        <v>0</v>
      </c>
      <c r="BD2" s="31">
        <f t="shared" ref="BD2:BD33" si="22">ROUND(IF(AP2&gt;=0.75,$AU2,IF(AP2&gt;=0.5,$AU2/0.7,IF(AP2&gt;=0.2,$AU2/0.5,0))),2)</f>
        <v>14</v>
      </c>
      <c r="BE2" s="31">
        <f t="shared" ref="BE2:BE33" si="23">ROUND(IF(AQ2&gt;=0.75,$AU2,IF(AQ2&gt;=0.5,$AU2/0.7,IF(AQ2&gt;=0.2,$AU2/0.5,0))),2)</f>
        <v>10</v>
      </c>
      <c r="BF2" s="31">
        <f t="shared" ref="BF2:BF33" si="24">ROUND(IF(AR2&gt;=0.75,$AU2,IF(AR2&gt;=0.5,$AU2/0.7,IF(AR2&gt;=0.2,$AU2/0.5,0))),2)</f>
        <v>7</v>
      </c>
      <c r="BG2" s="31">
        <f t="shared" ref="BG2:BG33" si="25">ROUND(IF(AS2&gt;=0.75,$AU2,IF(AS2&gt;=0.5,$AU2/0.7,IF(AS2&gt;=0.2,$AU2/0.5,0))),2)</f>
        <v>7</v>
      </c>
      <c r="BH2">
        <f t="shared" ref="BH2:BH33" si="26">ROUND(IF(AV2&gt;0,31/AV2,0),0)</f>
        <v>4</v>
      </c>
      <c r="BI2">
        <f t="shared" ref="BI2:BI33" si="27">ROUND(IF(AW2&gt;0,28/AW2,0),0)</f>
        <v>4</v>
      </c>
      <c r="BJ2">
        <f t="shared" ref="BJ2:BJ33" si="28">ROUND(IF(AX2&gt;0,31/AX2,0),0)</f>
        <v>4</v>
      </c>
      <c r="BK2">
        <f t="shared" ref="BK2:BK33" si="29">ROUND(IF(AY2&gt;0,30/AY2,0),0)</f>
        <v>3</v>
      </c>
      <c r="BL2">
        <f t="shared" ref="BL2:BL33" si="30">ROUND(IF(AZ2&gt;0,31/AZ2,0),0)</f>
        <v>2</v>
      </c>
      <c r="BM2">
        <f t="shared" ref="BM2:BM33" si="31">ROUND(IF(BA2&gt;0,30/BA2,0),0)</f>
        <v>0</v>
      </c>
      <c r="BN2">
        <f t="shared" ref="BN2:BN33" si="32">ROUND(IF(BB2&gt;0,31/BB2,0),0)</f>
        <v>0</v>
      </c>
      <c r="BO2">
        <f t="shared" ref="BO2:BO33" si="33">ROUND(IF(BC2&gt;0,31/BC2,0),0)</f>
        <v>0</v>
      </c>
      <c r="BP2">
        <f t="shared" ref="BP2:BP33" si="34">ROUND(IF(BD2&gt;0,30/BD2,0),0)</f>
        <v>2</v>
      </c>
      <c r="BQ2">
        <f t="shared" ref="BQ2:BQ33" si="35">ROUND(IF(BE2&gt;0,31/BE2,0),0)</f>
        <v>3</v>
      </c>
      <c r="BR2">
        <f t="shared" ref="BR2:BR33" si="36">ROUND(IF(BF2&gt;0,30/BF2,0),0)</f>
        <v>4</v>
      </c>
      <c r="BS2">
        <f t="shared" ref="BS2:BS33" si="37">ROUND(IF(BG2&gt;0,31/BG2,0),0)</f>
        <v>4</v>
      </c>
      <c r="BT2" s="4">
        <f t="shared" ref="BT2:BT33" si="38">ROUND(SUM(BH2:BS2),0)</f>
        <v>30</v>
      </c>
      <c r="BU2" s="8" t="str">
        <f>LOOKUP(D2,'Mower Equipment EFs'!B$2:B$6,'Mower Equipment EFs'!A$2:A$6)</f>
        <v>John Deere 7500A fairway mower</v>
      </c>
      <c r="BV2" s="8">
        <f>LOOKUP(D2,'Mower Equipment EFs'!B$2:B$6,'Mower Equipment EFs'!H$2:H$6)</f>
        <v>2.2621799999999999</v>
      </c>
      <c r="BW2">
        <f t="shared" ref="BW2:BW33" si="39">BV2/10*BT2</f>
        <v>6.7865399999999996</v>
      </c>
      <c r="BX2">
        <f t="shared" ref="BX2:BX29" si="40">IF(F2="Cool",3.5,4)</f>
        <v>3.5</v>
      </c>
      <c r="BY2" s="35">
        <f t="shared" ref="BY2:BY33" si="41">BX2*SUM(AH2:AS2)</f>
        <v>24.076254452461399</v>
      </c>
      <c r="BZ2">
        <f t="shared" ref="BZ2:BZ33" si="42">0.01*BY2*(44/28)</f>
        <v>0.37834114139582198</v>
      </c>
      <c r="CA2">
        <v>0.23599999999999999</v>
      </c>
      <c r="CB2">
        <v>270</v>
      </c>
      <c r="CC2" s="5">
        <f t="shared" ref="CC2:CC33" si="43">CB2*BZ2</f>
        <v>102.15210817687193</v>
      </c>
      <c r="CD2" s="5">
        <f t="shared" ref="CD2:CD33" si="44">CA2*CB2</f>
        <v>63.72</v>
      </c>
      <c r="CE2" s="32">
        <v>3.7810000000000001</v>
      </c>
      <c r="CF2" s="5">
        <f t="shared" ref="CF2:CF33" si="45">CE2*BY2</f>
        <v>91.032318084756554</v>
      </c>
      <c r="CG2" s="26">
        <f t="shared" ref="CG2:CG33" si="46">CC2+BW2+CF2</f>
        <v>199.97096626162849</v>
      </c>
      <c r="CH2" s="5">
        <f t="shared" ref="CH2:CH33" si="47">BW2 +CD2</f>
        <v>70.506540000000001</v>
      </c>
      <c r="CJ2" s="27"/>
      <c r="CK2" s="15"/>
      <c r="CL2" s="27"/>
    </row>
    <row r="3" spans="1:90">
      <c r="A3" t="s">
        <v>64</v>
      </c>
      <c r="B3" t="s">
        <v>139</v>
      </c>
      <c r="C3" t="s">
        <v>53</v>
      </c>
      <c r="D3" t="s">
        <v>175</v>
      </c>
      <c r="E3" t="s">
        <v>210</v>
      </c>
      <c r="F3" t="s">
        <v>227</v>
      </c>
      <c r="G3" t="s">
        <v>67</v>
      </c>
      <c r="H3">
        <v>-33.667518000000001</v>
      </c>
      <c r="I3">
        <v>-70.599805000000003</v>
      </c>
      <c r="J3" t="s">
        <v>65</v>
      </c>
      <c r="K3" t="s">
        <v>66</v>
      </c>
      <c r="L3" t="s">
        <v>445</v>
      </c>
      <c r="M3" t="s">
        <v>517</v>
      </c>
      <c r="N3">
        <v>0</v>
      </c>
      <c r="O3">
        <v>30</v>
      </c>
      <c r="P3">
        <v>0</v>
      </c>
      <c r="Q3">
        <v>2</v>
      </c>
      <c r="R3" t="s">
        <v>147</v>
      </c>
      <c r="S3" t="s">
        <v>575</v>
      </c>
      <c r="T3" s="22">
        <v>21</v>
      </c>
      <c r="U3" s="22">
        <v>20</v>
      </c>
      <c r="V3" s="22">
        <v>18</v>
      </c>
      <c r="W3" s="22">
        <v>15</v>
      </c>
      <c r="X3" s="22">
        <v>11</v>
      </c>
      <c r="Y3" s="22">
        <v>8</v>
      </c>
      <c r="Z3" s="22">
        <v>8</v>
      </c>
      <c r="AA3" s="22">
        <v>10</v>
      </c>
      <c r="AB3" s="22">
        <v>11</v>
      </c>
      <c r="AC3" s="22">
        <v>14</v>
      </c>
      <c r="AD3" s="22">
        <v>17</v>
      </c>
      <c r="AE3" s="22">
        <v>19</v>
      </c>
      <c r="AF3" s="24">
        <f t="shared" si="0"/>
        <v>7</v>
      </c>
      <c r="AG3" s="24">
        <f t="shared" si="1"/>
        <v>31</v>
      </c>
      <c r="AH3" s="25">
        <f t="shared" si="2"/>
        <v>0.36044778859782101</v>
      </c>
      <c r="AI3" s="25">
        <f t="shared" si="3"/>
        <v>0.29092380704614818</v>
      </c>
      <c r="AJ3" s="25">
        <f t="shared" si="4"/>
        <v>0.17826397958504792</v>
      </c>
      <c r="AK3" s="25">
        <f t="shared" si="5"/>
        <v>7.3369651368382902E-2</v>
      </c>
      <c r="AL3" s="25">
        <f t="shared" si="6"/>
        <v>1.6879884148789909E-2</v>
      </c>
      <c r="AM3" s="25">
        <f t="shared" si="7"/>
        <v>4.5258078667667224E-3</v>
      </c>
      <c r="AN3" s="25">
        <f t="shared" si="8"/>
        <v>4.5258078667667224E-3</v>
      </c>
      <c r="AO3" s="25">
        <f t="shared" si="9"/>
        <v>1.1108996538242306E-2</v>
      </c>
      <c r="AP3" s="25">
        <f t="shared" si="10"/>
        <v>1.6879884148789909E-2</v>
      </c>
      <c r="AQ3" s="25">
        <f t="shared" si="11"/>
        <v>5.2393141069825601E-2</v>
      </c>
      <c r="AR3" s="25">
        <f t="shared" si="12"/>
        <v>0.1353352832366127</v>
      </c>
      <c r="AS3" s="25">
        <f t="shared" si="13"/>
        <v>0.23006629899380912</v>
      </c>
      <c r="AT3">
        <v>1</v>
      </c>
      <c r="AU3">
        <v>7</v>
      </c>
      <c r="AV3" s="31">
        <f t="shared" si="14"/>
        <v>14</v>
      </c>
      <c r="AW3" s="31">
        <f t="shared" si="15"/>
        <v>14</v>
      </c>
      <c r="AX3" s="31">
        <f t="shared" si="16"/>
        <v>0</v>
      </c>
      <c r="AY3" s="31">
        <f t="shared" si="17"/>
        <v>0</v>
      </c>
      <c r="AZ3" s="31">
        <f t="shared" si="18"/>
        <v>0</v>
      </c>
      <c r="BA3" s="31">
        <f t="shared" si="19"/>
        <v>0</v>
      </c>
      <c r="BB3" s="31">
        <f t="shared" si="20"/>
        <v>0</v>
      </c>
      <c r="BC3" s="31">
        <f t="shared" si="21"/>
        <v>0</v>
      </c>
      <c r="BD3" s="31">
        <f t="shared" si="22"/>
        <v>0</v>
      </c>
      <c r="BE3" s="31">
        <f t="shared" si="23"/>
        <v>0</v>
      </c>
      <c r="BF3" s="31">
        <f t="shared" si="24"/>
        <v>0</v>
      </c>
      <c r="BG3" s="31">
        <f t="shared" si="25"/>
        <v>14</v>
      </c>
      <c r="BH3">
        <f t="shared" si="26"/>
        <v>2</v>
      </c>
      <c r="BI3">
        <f t="shared" si="27"/>
        <v>2</v>
      </c>
      <c r="BJ3">
        <f t="shared" si="28"/>
        <v>0</v>
      </c>
      <c r="BK3">
        <f t="shared" si="29"/>
        <v>0</v>
      </c>
      <c r="BL3">
        <f t="shared" si="30"/>
        <v>0</v>
      </c>
      <c r="BM3">
        <f t="shared" si="31"/>
        <v>0</v>
      </c>
      <c r="BN3">
        <f t="shared" si="32"/>
        <v>0</v>
      </c>
      <c r="BO3">
        <f t="shared" si="33"/>
        <v>0</v>
      </c>
      <c r="BP3">
        <f t="shared" si="34"/>
        <v>0</v>
      </c>
      <c r="BQ3">
        <f t="shared" si="35"/>
        <v>0</v>
      </c>
      <c r="BR3">
        <f t="shared" si="36"/>
        <v>0</v>
      </c>
      <c r="BS3">
        <f t="shared" si="37"/>
        <v>2</v>
      </c>
      <c r="BT3" s="4">
        <f t="shared" si="38"/>
        <v>6</v>
      </c>
      <c r="BU3" s="8" t="str">
        <f>LOOKUP(D3,'Mower Equipment EFs'!B$2:B$6,'Mower Equipment EFs'!A$2:A$6)</f>
        <v>John Deere 7500A fairway mower</v>
      </c>
      <c r="BV3" s="8">
        <f>LOOKUP(D3,'Mower Equipment EFs'!B$2:B$6,'Mower Equipment EFs'!H$2:H$6)</f>
        <v>2.2621799999999999</v>
      </c>
      <c r="BW3">
        <f t="shared" si="39"/>
        <v>1.3573079999999997</v>
      </c>
      <c r="BX3">
        <f t="shared" si="40"/>
        <v>4</v>
      </c>
      <c r="BY3" s="35">
        <f t="shared" si="41"/>
        <v>5.4988813218680122</v>
      </c>
      <c r="BZ3">
        <f t="shared" si="42"/>
        <v>8.6410992200783049E-2</v>
      </c>
      <c r="CA3">
        <v>0.23599999999999999</v>
      </c>
      <c r="CB3">
        <v>270</v>
      </c>
      <c r="CC3" s="5">
        <f t="shared" si="43"/>
        <v>23.330967894211422</v>
      </c>
      <c r="CD3" s="5">
        <f t="shared" si="44"/>
        <v>63.72</v>
      </c>
      <c r="CE3" s="32">
        <v>3.7810000000000001</v>
      </c>
      <c r="CF3" s="5">
        <f t="shared" si="45"/>
        <v>20.791270277982953</v>
      </c>
      <c r="CG3" s="26">
        <f t="shared" si="46"/>
        <v>45.479546172194375</v>
      </c>
      <c r="CH3" s="5">
        <f t="shared" si="47"/>
        <v>65.077308000000002</v>
      </c>
      <c r="CJ3" s="27"/>
      <c r="CK3" s="15"/>
      <c r="CL3" s="27"/>
    </row>
    <row r="4" spans="1:90">
      <c r="A4" t="s">
        <v>64</v>
      </c>
      <c r="B4" t="s">
        <v>140</v>
      </c>
      <c r="C4" t="s">
        <v>53</v>
      </c>
      <c r="D4" t="s">
        <v>175</v>
      </c>
      <c r="E4" t="s">
        <v>233</v>
      </c>
      <c r="F4" t="s">
        <v>226</v>
      </c>
      <c r="G4" t="s">
        <v>67</v>
      </c>
      <c r="H4">
        <v>-33.667518000000001</v>
      </c>
      <c r="I4">
        <v>-70.599805000000003</v>
      </c>
      <c r="J4" t="s">
        <v>65</v>
      </c>
      <c r="K4" t="s">
        <v>66</v>
      </c>
      <c r="L4" t="s">
        <v>445</v>
      </c>
      <c r="M4" t="s">
        <v>517</v>
      </c>
      <c r="N4">
        <v>0</v>
      </c>
      <c r="O4">
        <v>30</v>
      </c>
      <c r="P4">
        <v>0</v>
      </c>
      <c r="Q4">
        <v>2</v>
      </c>
      <c r="R4" t="s">
        <v>147</v>
      </c>
      <c r="S4" t="s">
        <v>575</v>
      </c>
      <c r="T4" s="22">
        <v>21</v>
      </c>
      <c r="U4" s="22">
        <v>20</v>
      </c>
      <c r="V4" s="22">
        <v>18</v>
      </c>
      <c r="W4" s="22">
        <v>15</v>
      </c>
      <c r="X4" s="22">
        <v>11</v>
      </c>
      <c r="Y4" s="22">
        <v>8</v>
      </c>
      <c r="Z4" s="22">
        <v>8</v>
      </c>
      <c r="AA4" s="22">
        <v>10</v>
      </c>
      <c r="AB4" s="22">
        <v>11</v>
      </c>
      <c r="AC4" s="22">
        <v>14</v>
      </c>
      <c r="AD4" s="22">
        <v>17</v>
      </c>
      <c r="AE4" s="22">
        <v>19</v>
      </c>
      <c r="AF4" s="24">
        <f t="shared" si="0"/>
        <v>5.5</v>
      </c>
      <c r="AG4" s="24">
        <f t="shared" si="1"/>
        <v>20</v>
      </c>
      <c r="AH4" s="25">
        <f t="shared" si="2"/>
        <v>0.98360692753912782</v>
      </c>
      <c r="AI4" s="25">
        <f t="shared" si="3"/>
        <v>1</v>
      </c>
      <c r="AJ4" s="25">
        <f t="shared" si="4"/>
        <v>0.93602255789541478</v>
      </c>
      <c r="AK4" s="25">
        <f t="shared" si="5"/>
        <v>0.66151465564937462</v>
      </c>
      <c r="AL4" s="25">
        <f t="shared" si="6"/>
        <v>0.26214880584576306</v>
      </c>
      <c r="AM4" s="25">
        <f t="shared" si="7"/>
        <v>9.2535281158422036E-2</v>
      </c>
      <c r="AN4" s="25">
        <f t="shared" si="8"/>
        <v>9.2535281158422036E-2</v>
      </c>
      <c r="AO4" s="25">
        <f t="shared" si="9"/>
        <v>0.19149519501466308</v>
      </c>
      <c r="AP4" s="25">
        <f t="shared" si="10"/>
        <v>0.26214880584576306</v>
      </c>
      <c r="AQ4" s="25">
        <f t="shared" si="11"/>
        <v>0.5515397744971644</v>
      </c>
      <c r="AR4" s="25">
        <f t="shared" si="12"/>
        <v>0.86177563141715641</v>
      </c>
      <c r="AS4" s="25">
        <f t="shared" si="13"/>
        <v>0.98360692753912782</v>
      </c>
      <c r="AT4">
        <v>1</v>
      </c>
      <c r="AU4">
        <v>7</v>
      </c>
      <c r="AV4" s="31">
        <f t="shared" si="14"/>
        <v>7</v>
      </c>
      <c r="AW4" s="31">
        <f t="shared" si="15"/>
        <v>7</v>
      </c>
      <c r="AX4" s="31">
        <f t="shared" si="16"/>
        <v>7</v>
      </c>
      <c r="AY4" s="31">
        <f t="shared" si="17"/>
        <v>10</v>
      </c>
      <c r="AZ4" s="31">
        <f t="shared" si="18"/>
        <v>14</v>
      </c>
      <c r="BA4" s="31">
        <f t="shared" si="19"/>
        <v>0</v>
      </c>
      <c r="BB4" s="31">
        <f t="shared" si="20"/>
        <v>0</v>
      </c>
      <c r="BC4" s="31">
        <f t="shared" si="21"/>
        <v>0</v>
      </c>
      <c r="BD4" s="31">
        <f t="shared" si="22"/>
        <v>14</v>
      </c>
      <c r="BE4" s="31">
        <f t="shared" si="23"/>
        <v>10</v>
      </c>
      <c r="BF4" s="31">
        <f t="shared" si="24"/>
        <v>7</v>
      </c>
      <c r="BG4" s="31">
        <f t="shared" si="25"/>
        <v>7</v>
      </c>
      <c r="BH4">
        <f t="shared" si="26"/>
        <v>4</v>
      </c>
      <c r="BI4">
        <f t="shared" si="27"/>
        <v>4</v>
      </c>
      <c r="BJ4">
        <f t="shared" si="28"/>
        <v>4</v>
      </c>
      <c r="BK4">
        <f t="shared" si="29"/>
        <v>3</v>
      </c>
      <c r="BL4">
        <f t="shared" si="30"/>
        <v>2</v>
      </c>
      <c r="BM4">
        <f t="shared" si="31"/>
        <v>0</v>
      </c>
      <c r="BN4">
        <f t="shared" si="32"/>
        <v>0</v>
      </c>
      <c r="BO4">
        <f t="shared" si="33"/>
        <v>0</v>
      </c>
      <c r="BP4">
        <f t="shared" si="34"/>
        <v>2</v>
      </c>
      <c r="BQ4">
        <f t="shared" si="35"/>
        <v>3</v>
      </c>
      <c r="BR4">
        <f t="shared" si="36"/>
        <v>4</v>
      </c>
      <c r="BS4">
        <f t="shared" si="37"/>
        <v>4</v>
      </c>
      <c r="BT4" s="4">
        <f t="shared" si="38"/>
        <v>30</v>
      </c>
      <c r="BU4" s="8" t="str">
        <f>LOOKUP(D4,'Mower Equipment EFs'!B$2:B$6,'Mower Equipment EFs'!A$2:A$6)</f>
        <v>John Deere 7500A fairway mower</v>
      </c>
      <c r="BV4" s="8">
        <f>LOOKUP(D4,'Mower Equipment EFs'!B$2:B$6,'Mower Equipment EFs'!H$2:H$6)</f>
        <v>2.2621799999999999</v>
      </c>
      <c r="BW4">
        <f t="shared" si="39"/>
        <v>6.7865399999999996</v>
      </c>
      <c r="BX4">
        <f t="shared" si="40"/>
        <v>3.5</v>
      </c>
      <c r="BY4" s="35">
        <f t="shared" si="41"/>
        <v>24.076254452461399</v>
      </c>
      <c r="BZ4">
        <f t="shared" si="42"/>
        <v>0.37834114139582198</v>
      </c>
      <c r="CA4">
        <v>0.23599999999999999</v>
      </c>
      <c r="CB4">
        <v>270</v>
      </c>
      <c r="CC4" s="5">
        <f t="shared" si="43"/>
        <v>102.15210817687193</v>
      </c>
      <c r="CD4" s="5">
        <f t="shared" si="44"/>
        <v>63.72</v>
      </c>
      <c r="CE4" s="32">
        <v>3.7810000000000001</v>
      </c>
      <c r="CF4" s="5">
        <f t="shared" si="45"/>
        <v>91.032318084756554</v>
      </c>
      <c r="CG4" s="26">
        <f t="shared" si="46"/>
        <v>199.97096626162849</v>
      </c>
      <c r="CH4" s="5">
        <f t="shared" si="47"/>
        <v>70.506540000000001</v>
      </c>
      <c r="CJ4" s="27"/>
      <c r="CK4" s="15"/>
      <c r="CL4" s="27"/>
    </row>
    <row r="5" spans="1:90">
      <c r="A5" t="s">
        <v>64</v>
      </c>
      <c r="B5" t="s">
        <v>141</v>
      </c>
      <c r="C5" t="s">
        <v>53</v>
      </c>
      <c r="D5" t="s">
        <v>175</v>
      </c>
      <c r="E5" t="s">
        <v>217</v>
      </c>
      <c r="F5" t="s">
        <v>226</v>
      </c>
      <c r="G5" t="s">
        <v>67</v>
      </c>
      <c r="H5">
        <v>-33.667518000000001</v>
      </c>
      <c r="I5">
        <v>-70.599805000000003</v>
      </c>
      <c r="J5" t="s">
        <v>65</v>
      </c>
      <c r="K5" t="s">
        <v>66</v>
      </c>
      <c r="L5" t="s">
        <v>445</v>
      </c>
      <c r="M5" t="s">
        <v>517</v>
      </c>
      <c r="N5">
        <v>0</v>
      </c>
      <c r="O5">
        <v>30</v>
      </c>
      <c r="P5">
        <v>0</v>
      </c>
      <c r="Q5">
        <v>2</v>
      </c>
      <c r="R5" t="s">
        <v>149</v>
      </c>
      <c r="S5" t="s">
        <v>603</v>
      </c>
      <c r="T5" s="22">
        <v>21</v>
      </c>
      <c r="U5" s="22">
        <v>20</v>
      </c>
      <c r="V5" s="22">
        <v>18</v>
      </c>
      <c r="W5" s="22">
        <v>15</v>
      </c>
      <c r="X5" s="22">
        <v>11</v>
      </c>
      <c r="Y5" s="22">
        <v>8</v>
      </c>
      <c r="Z5" s="22">
        <v>8</v>
      </c>
      <c r="AA5" s="22">
        <v>10</v>
      </c>
      <c r="AB5" s="22">
        <v>11</v>
      </c>
      <c r="AC5" s="22">
        <v>14</v>
      </c>
      <c r="AD5" s="22">
        <v>17</v>
      </c>
      <c r="AE5" s="22">
        <v>19</v>
      </c>
      <c r="AF5" s="24">
        <f t="shared" si="0"/>
        <v>5.5</v>
      </c>
      <c r="AG5" s="24">
        <f t="shared" si="1"/>
        <v>20</v>
      </c>
      <c r="AH5" s="25">
        <f t="shared" si="2"/>
        <v>0.98360692753912782</v>
      </c>
      <c r="AI5" s="25">
        <f t="shared" si="3"/>
        <v>1</v>
      </c>
      <c r="AJ5" s="25">
        <f t="shared" si="4"/>
        <v>0.93602255789541478</v>
      </c>
      <c r="AK5" s="25">
        <f t="shared" si="5"/>
        <v>0.66151465564937462</v>
      </c>
      <c r="AL5" s="25">
        <f t="shared" si="6"/>
        <v>0.26214880584576306</v>
      </c>
      <c r="AM5" s="25">
        <f t="shared" si="7"/>
        <v>9.2535281158422036E-2</v>
      </c>
      <c r="AN5" s="25">
        <f t="shared" si="8"/>
        <v>9.2535281158422036E-2</v>
      </c>
      <c r="AO5" s="25">
        <f t="shared" si="9"/>
        <v>0.19149519501466308</v>
      </c>
      <c r="AP5" s="25">
        <f t="shared" si="10"/>
        <v>0.26214880584576306</v>
      </c>
      <c r="AQ5" s="25">
        <f t="shared" si="11"/>
        <v>0.5515397744971644</v>
      </c>
      <c r="AR5" s="25">
        <f t="shared" si="12"/>
        <v>0.86177563141715641</v>
      </c>
      <c r="AS5" s="25">
        <f t="shared" si="13"/>
        <v>0.98360692753912782</v>
      </c>
      <c r="AT5">
        <v>1</v>
      </c>
      <c r="AU5">
        <v>7</v>
      </c>
      <c r="AV5" s="31">
        <f t="shared" si="14"/>
        <v>7</v>
      </c>
      <c r="AW5" s="31">
        <f t="shared" si="15"/>
        <v>7</v>
      </c>
      <c r="AX5" s="31">
        <f t="shared" si="16"/>
        <v>7</v>
      </c>
      <c r="AY5" s="31">
        <f t="shared" si="17"/>
        <v>10</v>
      </c>
      <c r="AZ5" s="31">
        <f t="shared" si="18"/>
        <v>14</v>
      </c>
      <c r="BA5" s="31">
        <f t="shared" si="19"/>
        <v>0</v>
      </c>
      <c r="BB5" s="31">
        <f t="shared" si="20"/>
        <v>0</v>
      </c>
      <c r="BC5" s="31">
        <f t="shared" si="21"/>
        <v>0</v>
      </c>
      <c r="BD5" s="31">
        <f t="shared" si="22"/>
        <v>14</v>
      </c>
      <c r="BE5" s="31">
        <f t="shared" si="23"/>
        <v>10</v>
      </c>
      <c r="BF5" s="31">
        <f t="shared" si="24"/>
        <v>7</v>
      </c>
      <c r="BG5" s="31">
        <f t="shared" si="25"/>
        <v>7</v>
      </c>
      <c r="BH5">
        <f t="shared" si="26"/>
        <v>4</v>
      </c>
      <c r="BI5">
        <f t="shared" si="27"/>
        <v>4</v>
      </c>
      <c r="BJ5">
        <f t="shared" si="28"/>
        <v>4</v>
      </c>
      <c r="BK5">
        <f t="shared" si="29"/>
        <v>3</v>
      </c>
      <c r="BL5">
        <f t="shared" si="30"/>
        <v>2</v>
      </c>
      <c r="BM5">
        <f t="shared" si="31"/>
        <v>0</v>
      </c>
      <c r="BN5">
        <f t="shared" si="32"/>
        <v>0</v>
      </c>
      <c r="BO5">
        <f t="shared" si="33"/>
        <v>0</v>
      </c>
      <c r="BP5">
        <f t="shared" si="34"/>
        <v>2</v>
      </c>
      <c r="BQ5">
        <f t="shared" si="35"/>
        <v>3</v>
      </c>
      <c r="BR5">
        <f t="shared" si="36"/>
        <v>4</v>
      </c>
      <c r="BS5">
        <f t="shared" si="37"/>
        <v>4</v>
      </c>
      <c r="BT5" s="4">
        <f t="shared" si="38"/>
        <v>30</v>
      </c>
      <c r="BU5" s="8" t="str">
        <f>LOOKUP(D5,'Mower Equipment EFs'!B$2:B$6,'Mower Equipment EFs'!A$2:A$6)</f>
        <v>John Deere 7500A fairway mower</v>
      </c>
      <c r="BV5" s="8">
        <f>LOOKUP(D5,'Mower Equipment EFs'!B$2:B$6,'Mower Equipment EFs'!H$2:H$6)</f>
        <v>2.2621799999999999</v>
      </c>
      <c r="BW5">
        <f t="shared" si="39"/>
        <v>6.7865399999999996</v>
      </c>
      <c r="BX5">
        <f t="shared" si="40"/>
        <v>3.5</v>
      </c>
      <c r="BY5" s="35">
        <f t="shared" si="41"/>
        <v>24.076254452461399</v>
      </c>
      <c r="BZ5">
        <f t="shared" si="42"/>
        <v>0.37834114139582198</v>
      </c>
      <c r="CA5">
        <v>0.23599999999999999</v>
      </c>
      <c r="CB5">
        <v>270</v>
      </c>
      <c r="CC5" s="5">
        <f t="shared" si="43"/>
        <v>102.15210817687193</v>
      </c>
      <c r="CD5" s="5">
        <f t="shared" si="44"/>
        <v>63.72</v>
      </c>
      <c r="CE5" s="32">
        <v>3.7810000000000001</v>
      </c>
      <c r="CF5" s="5">
        <f t="shared" si="45"/>
        <v>91.032318084756554</v>
      </c>
      <c r="CG5" s="26">
        <f t="shared" si="46"/>
        <v>199.97096626162849</v>
      </c>
      <c r="CH5" s="5">
        <f t="shared" si="47"/>
        <v>70.506540000000001</v>
      </c>
      <c r="CJ5" s="27"/>
      <c r="CK5" s="15"/>
      <c r="CL5" s="27"/>
    </row>
    <row r="6" spans="1:90">
      <c r="A6" t="s">
        <v>64</v>
      </c>
      <c r="B6" t="s">
        <v>142</v>
      </c>
      <c r="C6" t="s">
        <v>53</v>
      </c>
      <c r="D6" t="s">
        <v>175</v>
      </c>
      <c r="E6" t="s">
        <v>234</v>
      </c>
      <c r="F6" t="s">
        <v>226</v>
      </c>
      <c r="G6" t="s">
        <v>67</v>
      </c>
      <c r="H6">
        <v>-33.667518000000001</v>
      </c>
      <c r="I6">
        <v>-70.599805000000003</v>
      </c>
      <c r="J6" t="s">
        <v>65</v>
      </c>
      <c r="K6" t="s">
        <v>66</v>
      </c>
      <c r="L6" t="s">
        <v>445</v>
      </c>
      <c r="M6" t="s">
        <v>517</v>
      </c>
      <c r="N6">
        <v>0</v>
      </c>
      <c r="O6">
        <v>30</v>
      </c>
      <c r="P6">
        <v>0</v>
      </c>
      <c r="Q6">
        <v>2</v>
      </c>
      <c r="R6" t="s">
        <v>150</v>
      </c>
      <c r="S6" t="s">
        <v>602</v>
      </c>
      <c r="T6" s="22">
        <v>21</v>
      </c>
      <c r="U6" s="22">
        <v>20</v>
      </c>
      <c r="V6" s="22">
        <v>18</v>
      </c>
      <c r="W6" s="22">
        <v>15</v>
      </c>
      <c r="X6" s="22">
        <v>11</v>
      </c>
      <c r="Y6" s="22">
        <v>8</v>
      </c>
      <c r="Z6" s="22">
        <v>8</v>
      </c>
      <c r="AA6" s="22">
        <v>10</v>
      </c>
      <c r="AB6" s="22">
        <v>11</v>
      </c>
      <c r="AC6" s="22">
        <v>14</v>
      </c>
      <c r="AD6" s="22">
        <v>17</v>
      </c>
      <c r="AE6" s="22">
        <v>19</v>
      </c>
      <c r="AF6" s="24">
        <f t="shared" si="0"/>
        <v>5.5</v>
      </c>
      <c r="AG6" s="24">
        <f t="shared" si="1"/>
        <v>20</v>
      </c>
      <c r="AH6" s="25">
        <f t="shared" si="2"/>
        <v>0.98360692753912782</v>
      </c>
      <c r="AI6" s="25">
        <f t="shared" si="3"/>
        <v>1</v>
      </c>
      <c r="AJ6" s="25">
        <f t="shared" si="4"/>
        <v>0.93602255789541478</v>
      </c>
      <c r="AK6" s="25">
        <f t="shared" si="5"/>
        <v>0.66151465564937462</v>
      </c>
      <c r="AL6" s="25">
        <f t="shared" si="6"/>
        <v>0.26214880584576306</v>
      </c>
      <c r="AM6" s="25">
        <f t="shared" si="7"/>
        <v>9.2535281158422036E-2</v>
      </c>
      <c r="AN6" s="25">
        <f t="shared" si="8"/>
        <v>9.2535281158422036E-2</v>
      </c>
      <c r="AO6" s="25">
        <f t="shared" si="9"/>
        <v>0.19149519501466308</v>
      </c>
      <c r="AP6" s="25">
        <f t="shared" si="10"/>
        <v>0.26214880584576306</v>
      </c>
      <c r="AQ6" s="25">
        <f t="shared" si="11"/>
        <v>0.5515397744971644</v>
      </c>
      <c r="AR6" s="25">
        <f t="shared" si="12"/>
        <v>0.86177563141715641</v>
      </c>
      <c r="AS6" s="25">
        <f t="shared" si="13"/>
        <v>0.98360692753912782</v>
      </c>
      <c r="AT6">
        <v>1</v>
      </c>
      <c r="AU6">
        <v>7</v>
      </c>
      <c r="AV6" s="31">
        <f t="shared" si="14"/>
        <v>7</v>
      </c>
      <c r="AW6" s="31">
        <f t="shared" si="15"/>
        <v>7</v>
      </c>
      <c r="AX6" s="31">
        <f t="shared" si="16"/>
        <v>7</v>
      </c>
      <c r="AY6" s="31">
        <f t="shared" si="17"/>
        <v>10</v>
      </c>
      <c r="AZ6" s="31">
        <f t="shared" si="18"/>
        <v>14</v>
      </c>
      <c r="BA6" s="31">
        <f t="shared" si="19"/>
        <v>0</v>
      </c>
      <c r="BB6" s="31">
        <f t="shared" si="20"/>
        <v>0</v>
      </c>
      <c r="BC6" s="31">
        <f t="shared" si="21"/>
        <v>0</v>
      </c>
      <c r="BD6" s="31">
        <f t="shared" si="22"/>
        <v>14</v>
      </c>
      <c r="BE6" s="31">
        <f t="shared" si="23"/>
        <v>10</v>
      </c>
      <c r="BF6" s="31">
        <f t="shared" si="24"/>
        <v>7</v>
      </c>
      <c r="BG6" s="31">
        <f t="shared" si="25"/>
        <v>7</v>
      </c>
      <c r="BH6">
        <f t="shared" si="26"/>
        <v>4</v>
      </c>
      <c r="BI6">
        <f t="shared" si="27"/>
        <v>4</v>
      </c>
      <c r="BJ6">
        <f t="shared" si="28"/>
        <v>4</v>
      </c>
      <c r="BK6">
        <f t="shared" si="29"/>
        <v>3</v>
      </c>
      <c r="BL6">
        <f t="shared" si="30"/>
        <v>2</v>
      </c>
      <c r="BM6">
        <f t="shared" si="31"/>
        <v>0</v>
      </c>
      <c r="BN6">
        <f t="shared" si="32"/>
        <v>0</v>
      </c>
      <c r="BO6">
        <f t="shared" si="33"/>
        <v>0</v>
      </c>
      <c r="BP6">
        <f t="shared" si="34"/>
        <v>2</v>
      </c>
      <c r="BQ6">
        <f t="shared" si="35"/>
        <v>3</v>
      </c>
      <c r="BR6">
        <f t="shared" si="36"/>
        <v>4</v>
      </c>
      <c r="BS6">
        <f t="shared" si="37"/>
        <v>4</v>
      </c>
      <c r="BT6" s="4">
        <f t="shared" si="38"/>
        <v>30</v>
      </c>
      <c r="BU6" s="8" t="str">
        <f>LOOKUP(D6,'Mower Equipment EFs'!B$2:B$6,'Mower Equipment EFs'!A$2:A$6)</f>
        <v>John Deere 7500A fairway mower</v>
      </c>
      <c r="BV6" s="8">
        <f>LOOKUP(D6,'Mower Equipment EFs'!B$2:B$6,'Mower Equipment EFs'!H$2:H$6)</f>
        <v>2.2621799999999999</v>
      </c>
      <c r="BW6">
        <f t="shared" si="39"/>
        <v>6.7865399999999996</v>
      </c>
      <c r="BX6">
        <f t="shared" si="40"/>
        <v>3.5</v>
      </c>
      <c r="BY6" s="35">
        <f t="shared" si="41"/>
        <v>24.076254452461399</v>
      </c>
      <c r="BZ6">
        <f t="shared" si="42"/>
        <v>0.37834114139582198</v>
      </c>
      <c r="CA6">
        <v>0.23599999999999999</v>
      </c>
      <c r="CB6">
        <v>270</v>
      </c>
      <c r="CC6" s="5">
        <f t="shared" si="43"/>
        <v>102.15210817687193</v>
      </c>
      <c r="CD6" s="5">
        <f t="shared" si="44"/>
        <v>63.72</v>
      </c>
      <c r="CE6" s="32">
        <v>3.7810000000000001</v>
      </c>
      <c r="CF6" s="5">
        <f t="shared" si="45"/>
        <v>91.032318084756554</v>
      </c>
      <c r="CG6" s="26">
        <f t="shared" si="46"/>
        <v>199.97096626162849</v>
      </c>
      <c r="CH6" s="5">
        <f t="shared" si="47"/>
        <v>70.506540000000001</v>
      </c>
      <c r="CJ6" s="27"/>
      <c r="CK6" s="15"/>
      <c r="CL6" s="27"/>
    </row>
    <row r="7" spans="1:90">
      <c r="A7" t="s">
        <v>64</v>
      </c>
      <c r="B7" t="s">
        <v>143</v>
      </c>
      <c r="C7" t="s">
        <v>53</v>
      </c>
      <c r="D7" t="s">
        <v>175</v>
      </c>
      <c r="E7" s="9" t="s">
        <v>212</v>
      </c>
      <c r="F7" t="s">
        <v>226</v>
      </c>
      <c r="G7" t="s">
        <v>67</v>
      </c>
      <c r="H7">
        <v>-33.667518000000001</v>
      </c>
      <c r="I7">
        <v>-70.599805000000003</v>
      </c>
      <c r="J7" t="s">
        <v>65</v>
      </c>
      <c r="K7" t="s">
        <v>66</v>
      </c>
      <c r="L7" t="s">
        <v>445</v>
      </c>
      <c r="M7" t="s">
        <v>517</v>
      </c>
      <c r="N7">
        <v>0</v>
      </c>
      <c r="O7">
        <v>30</v>
      </c>
      <c r="P7">
        <v>0</v>
      </c>
      <c r="Q7">
        <v>2</v>
      </c>
      <c r="R7" t="s">
        <v>151</v>
      </c>
      <c r="S7" t="s">
        <v>601</v>
      </c>
      <c r="T7" s="22">
        <v>21</v>
      </c>
      <c r="U7" s="22">
        <v>20</v>
      </c>
      <c r="V7" s="22">
        <v>18</v>
      </c>
      <c r="W7" s="22">
        <v>15</v>
      </c>
      <c r="X7" s="22">
        <v>11</v>
      </c>
      <c r="Y7" s="22">
        <v>8</v>
      </c>
      <c r="Z7" s="22">
        <v>8</v>
      </c>
      <c r="AA7" s="22">
        <v>10</v>
      </c>
      <c r="AB7" s="22">
        <v>11</v>
      </c>
      <c r="AC7" s="22">
        <v>14</v>
      </c>
      <c r="AD7" s="22">
        <v>17</v>
      </c>
      <c r="AE7" s="22">
        <v>19</v>
      </c>
      <c r="AF7" s="24">
        <f t="shared" si="0"/>
        <v>5.5</v>
      </c>
      <c r="AG7" s="24">
        <f t="shared" si="1"/>
        <v>20</v>
      </c>
      <c r="AH7" s="25">
        <f t="shared" si="2"/>
        <v>0.98360692753912782</v>
      </c>
      <c r="AI7" s="25">
        <f t="shared" si="3"/>
        <v>1</v>
      </c>
      <c r="AJ7" s="25">
        <f t="shared" si="4"/>
        <v>0.93602255789541478</v>
      </c>
      <c r="AK7" s="25">
        <f t="shared" si="5"/>
        <v>0.66151465564937462</v>
      </c>
      <c r="AL7" s="25">
        <f t="shared" si="6"/>
        <v>0.26214880584576306</v>
      </c>
      <c r="AM7" s="25">
        <f t="shared" si="7"/>
        <v>9.2535281158422036E-2</v>
      </c>
      <c r="AN7" s="25">
        <f t="shared" si="8"/>
        <v>9.2535281158422036E-2</v>
      </c>
      <c r="AO7" s="25">
        <f t="shared" si="9"/>
        <v>0.19149519501466308</v>
      </c>
      <c r="AP7" s="25">
        <f t="shared" si="10"/>
        <v>0.26214880584576306</v>
      </c>
      <c r="AQ7" s="25">
        <f t="shared" si="11"/>
        <v>0.5515397744971644</v>
      </c>
      <c r="AR7" s="25">
        <f t="shared" si="12"/>
        <v>0.86177563141715641</v>
      </c>
      <c r="AS7" s="25">
        <f t="shared" si="13"/>
        <v>0.98360692753912782</v>
      </c>
      <c r="AT7">
        <v>1</v>
      </c>
      <c r="AU7">
        <v>7</v>
      </c>
      <c r="AV7" s="31">
        <f t="shared" si="14"/>
        <v>7</v>
      </c>
      <c r="AW7" s="31">
        <f t="shared" si="15"/>
        <v>7</v>
      </c>
      <c r="AX7" s="31">
        <f t="shared" si="16"/>
        <v>7</v>
      </c>
      <c r="AY7" s="31">
        <f t="shared" si="17"/>
        <v>10</v>
      </c>
      <c r="AZ7" s="31">
        <f t="shared" si="18"/>
        <v>14</v>
      </c>
      <c r="BA7" s="31">
        <f t="shared" si="19"/>
        <v>0</v>
      </c>
      <c r="BB7" s="31">
        <f t="shared" si="20"/>
        <v>0</v>
      </c>
      <c r="BC7" s="31">
        <f t="shared" si="21"/>
        <v>0</v>
      </c>
      <c r="BD7" s="31">
        <f t="shared" si="22"/>
        <v>14</v>
      </c>
      <c r="BE7" s="31">
        <f t="shared" si="23"/>
        <v>10</v>
      </c>
      <c r="BF7" s="31">
        <f t="shared" si="24"/>
        <v>7</v>
      </c>
      <c r="BG7" s="31">
        <f t="shared" si="25"/>
        <v>7</v>
      </c>
      <c r="BH7">
        <f t="shared" si="26"/>
        <v>4</v>
      </c>
      <c r="BI7">
        <f t="shared" si="27"/>
        <v>4</v>
      </c>
      <c r="BJ7">
        <f t="shared" si="28"/>
        <v>4</v>
      </c>
      <c r="BK7">
        <f t="shared" si="29"/>
        <v>3</v>
      </c>
      <c r="BL7">
        <f t="shared" si="30"/>
        <v>2</v>
      </c>
      <c r="BM7">
        <f t="shared" si="31"/>
        <v>0</v>
      </c>
      <c r="BN7">
        <f t="shared" si="32"/>
        <v>0</v>
      </c>
      <c r="BO7">
        <f t="shared" si="33"/>
        <v>0</v>
      </c>
      <c r="BP7">
        <f t="shared" si="34"/>
        <v>2</v>
      </c>
      <c r="BQ7">
        <f t="shared" si="35"/>
        <v>3</v>
      </c>
      <c r="BR7">
        <f t="shared" si="36"/>
        <v>4</v>
      </c>
      <c r="BS7">
        <f t="shared" si="37"/>
        <v>4</v>
      </c>
      <c r="BT7" s="4">
        <f t="shared" si="38"/>
        <v>30</v>
      </c>
      <c r="BU7" s="8" t="str">
        <f>LOOKUP(D7,'Mower Equipment EFs'!B$2:B$6,'Mower Equipment EFs'!A$2:A$6)</f>
        <v>John Deere 7500A fairway mower</v>
      </c>
      <c r="BV7" s="8">
        <f>LOOKUP(D7,'Mower Equipment EFs'!B$2:B$6,'Mower Equipment EFs'!H$2:H$6)</f>
        <v>2.2621799999999999</v>
      </c>
      <c r="BW7">
        <f t="shared" si="39"/>
        <v>6.7865399999999996</v>
      </c>
      <c r="BX7">
        <f t="shared" si="40"/>
        <v>3.5</v>
      </c>
      <c r="BY7" s="35">
        <f t="shared" si="41"/>
        <v>24.076254452461399</v>
      </c>
      <c r="BZ7">
        <f t="shared" si="42"/>
        <v>0.37834114139582198</v>
      </c>
      <c r="CA7">
        <v>0.23599999999999999</v>
      </c>
      <c r="CB7">
        <v>270</v>
      </c>
      <c r="CC7" s="5">
        <f t="shared" si="43"/>
        <v>102.15210817687193</v>
      </c>
      <c r="CD7" s="5">
        <f t="shared" si="44"/>
        <v>63.72</v>
      </c>
      <c r="CE7" s="32">
        <v>3.7810000000000001</v>
      </c>
      <c r="CF7" s="5">
        <f t="shared" si="45"/>
        <v>91.032318084756554</v>
      </c>
      <c r="CG7" s="26">
        <f t="shared" si="46"/>
        <v>199.97096626162849</v>
      </c>
      <c r="CH7" s="5">
        <f t="shared" si="47"/>
        <v>70.506540000000001</v>
      </c>
      <c r="CJ7" s="27"/>
      <c r="CK7" s="15"/>
      <c r="CL7" s="27"/>
    </row>
    <row r="8" spans="1:90">
      <c r="A8" t="s">
        <v>64</v>
      </c>
      <c r="B8" t="s">
        <v>144</v>
      </c>
      <c r="C8" t="s">
        <v>53</v>
      </c>
      <c r="D8" t="s">
        <v>175</v>
      </c>
      <c r="E8" t="s">
        <v>234</v>
      </c>
      <c r="F8" t="s">
        <v>226</v>
      </c>
      <c r="G8" t="s">
        <v>67</v>
      </c>
      <c r="H8">
        <v>-33.667518000000001</v>
      </c>
      <c r="I8">
        <v>-70.599805000000003</v>
      </c>
      <c r="J8" t="s">
        <v>65</v>
      </c>
      <c r="K8" t="s">
        <v>66</v>
      </c>
      <c r="L8" t="s">
        <v>445</v>
      </c>
      <c r="M8" t="s">
        <v>517</v>
      </c>
      <c r="N8">
        <v>0</v>
      </c>
      <c r="O8">
        <v>30</v>
      </c>
      <c r="P8">
        <v>0</v>
      </c>
      <c r="Q8">
        <v>2</v>
      </c>
      <c r="R8" t="s">
        <v>154</v>
      </c>
      <c r="S8" t="s">
        <v>600</v>
      </c>
      <c r="T8" s="22">
        <v>21</v>
      </c>
      <c r="U8" s="22">
        <v>20</v>
      </c>
      <c r="V8" s="22">
        <v>18</v>
      </c>
      <c r="W8" s="22">
        <v>15</v>
      </c>
      <c r="X8" s="22">
        <v>11</v>
      </c>
      <c r="Y8" s="22">
        <v>8</v>
      </c>
      <c r="Z8" s="22">
        <v>8</v>
      </c>
      <c r="AA8" s="22">
        <v>10</v>
      </c>
      <c r="AB8" s="22">
        <v>11</v>
      </c>
      <c r="AC8" s="22">
        <v>14</v>
      </c>
      <c r="AD8" s="22">
        <v>17</v>
      </c>
      <c r="AE8" s="22">
        <v>19</v>
      </c>
      <c r="AF8" s="24">
        <f t="shared" si="0"/>
        <v>5.5</v>
      </c>
      <c r="AG8" s="24">
        <f t="shared" si="1"/>
        <v>20</v>
      </c>
      <c r="AH8" s="25">
        <f t="shared" si="2"/>
        <v>0.98360692753912782</v>
      </c>
      <c r="AI8" s="25">
        <f t="shared" si="3"/>
        <v>1</v>
      </c>
      <c r="AJ8" s="25">
        <f t="shared" si="4"/>
        <v>0.93602255789541478</v>
      </c>
      <c r="AK8" s="25">
        <f t="shared" si="5"/>
        <v>0.66151465564937462</v>
      </c>
      <c r="AL8" s="25">
        <f t="shared" si="6"/>
        <v>0.26214880584576306</v>
      </c>
      <c r="AM8" s="25">
        <f t="shared" si="7"/>
        <v>9.2535281158422036E-2</v>
      </c>
      <c r="AN8" s="25">
        <f t="shared" si="8"/>
        <v>9.2535281158422036E-2</v>
      </c>
      <c r="AO8" s="25">
        <f t="shared" si="9"/>
        <v>0.19149519501466308</v>
      </c>
      <c r="AP8" s="25">
        <f t="shared" si="10"/>
        <v>0.26214880584576306</v>
      </c>
      <c r="AQ8" s="25">
        <f t="shared" si="11"/>
        <v>0.5515397744971644</v>
      </c>
      <c r="AR8" s="25">
        <f t="shared" si="12"/>
        <v>0.86177563141715641</v>
      </c>
      <c r="AS8" s="25">
        <f t="shared" si="13"/>
        <v>0.98360692753912782</v>
      </c>
      <c r="AT8">
        <v>1</v>
      </c>
      <c r="AU8">
        <v>7</v>
      </c>
      <c r="AV8" s="31">
        <f t="shared" si="14"/>
        <v>7</v>
      </c>
      <c r="AW8" s="31">
        <f t="shared" si="15"/>
        <v>7</v>
      </c>
      <c r="AX8" s="31">
        <f t="shared" si="16"/>
        <v>7</v>
      </c>
      <c r="AY8" s="31">
        <f t="shared" si="17"/>
        <v>10</v>
      </c>
      <c r="AZ8" s="31">
        <f t="shared" si="18"/>
        <v>14</v>
      </c>
      <c r="BA8" s="31">
        <f t="shared" si="19"/>
        <v>0</v>
      </c>
      <c r="BB8" s="31">
        <f t="shared" si="20"/>
        <v>0</v>
      </c>
      <c r="BC8" s="31">
        <f t="shared" si="21"/>
        <v>0</v>
      </c>
      <c r="BD8" s="31">
        <f t="shared" si="22"/>
        <v>14</v>
      </c>
      <c r="BE8" s="31">
        <f t="shared" si="23"/>
        <v>10</v>
      </c>
      <c r="BF8" s="31">
        <f t="shared" si="24"/>
        <v>7</v>
      </c>
      <c r="BG8" s="31">
        <f t="shared" si="25"/>
        <v>7</v>
      </c>
      <c r="BH8">
        <f t="shared" si="26"/>
        <v>4</v>
      </c>
      <c r="BI8">
        <f t="shared" si="27"/>
        <v>4</v>
      </c>
      <c r="BJ8">
        <f t="shared" si="28"/>
        <v>4</v>
      </c>
      <c r="BK8">
        <f t="shared" si="29"/>
        <v>3</v>
      </c>
      <c r="BL8">
        <f t="shared" si="30"/>
        <v>2</v>
      </c>
      <c r="BM8">
        <f t="shared" si="31"/>
        <v>0</v>
      </c>
      <c r="BN8">
        <f t="shared" si="32"/>
        <v>0</v>
      </c>
      <c r="BO8">
        <f t="shared" si="33"/>
        <v>0</v>
      </c>
      <c r="BP8">
        <f t="shared" si="34"/>
        <v>2</v>
      </c>
      <c r="BQ8">
        <f t="shared" si="35"/>
        <v>3</v>
      </c>
      <c r="BR8">
        <f t="shared" si="36"/>
        <v>4</v>
      </c>
      <c r="BS8">
        <f t="shared" si="37"/>
        <v>4</v>
      </c>
      <c r="BT8" s="4">
        <f t="shared" si="38"/>
        <v>30</v>
      </c>
      <c r="BU8" s="8" t="str">
        <f>LOOKUP(D8,'Mower Equipment EFs'!B$2:B$6,'Mower Equipment EFs'!A$2:A$6)</f>
        <v>John Deere 7500A fairway mower</v>
      </c>
      <c r="BV8" s="8">
        <f>LOOKUP(D8,'Mower Equipment EFs'!B$2:B$6,'Mower Equipment EFs'!H$2:H$6)</f>
        <v>2.2621799999999999</v>
      </c>
      <c r="BW8">
        <f t="shared" si="39"/>
        <v>6.7865399999999996</v>
      </c>
      <c r="BX8">
        <f t="shared" si="40"/>
        <v>3.5</v>
      </c>
      <c r="BY8" s="35">
        <f t="shared" si="41"/>
        <v>24.076254452461399</v>
      </c>
      <c r="BZ8">
        <f t="shared" si="42"/>
        <v>0.37834114139582198</v>
      </c>
      <c r="CA8">
        <v>0.23599999999999999</v>
      </c>
      <c r="CB8">
        <v>270</v>
      </c>
      <c r="CC8" s="5">
        <f t="shared" si="43"/>
        <v>102.15210817687193</v>
      </c>
      <c r="CD8" s="5">
        <f t="shared" si="44"/>
        <v>63.72</v>
      </c>
      <c r="CE8" s="32">
        <v>3.7810000000000001</v>
      </c>
      <c r="CF8" s="5">
        <f t="shared" si="45"/>
        <v>91.032318084756554</v>
      </c>
      <c r="CG8" s="26">
        <f t="shared" si="46"/>
        <v>199.97096626162849</v>
      </c>
      <c r="CH8" s="5">
        <f t="shared" si="47"/>
        <v>70.506540000000001</v>
      </c>
      <c r="CJ8" s="27"/>
      <c r="CK8" s="15"/>
      <c r="CL8" s="27"/>
    </row>
    <row r="9" spans="1:90">
      <c r="A9" t="s">
        <v>64</v>
      </c>
      <c r="B9" t="s">
        <v>145</v>
      </c>
      <c r="C9" t="s">
        <v>53</v>
      </c>
      <c r="D9" t="s">
        <v>175</v>
      </c>
      <c r="E9" s="10" t="s">
        <v>235</v>
      </c>
      <c r="F9" t="s">
        <v>226</v>
      </c>
      <c r="G9" t="s">
        <v>67</v>
      </c>
      <c r="H9">
        <v>-33.667518000000001</v>
      </c>
      <c r="I9">
        <v>-70.599805000000003</v>
      </c>
      <c r="J9" t="s">
        <v>65</v>
      </c>
      <c r="K9" t="s">
        <v>66</v>
      </c>
      <c r="L9" t="s">
        <v>445</v>
      </c>
      <c r="M9" t="s">
        <v>517</v>
      </c>
      <c r="N9">
        <v>0</v>
      </c>
      <c r="O9">
        <v>30</v>
      </c>
      <c r="P9">
        <v>0</v>
      </c>
      <c r="Q9">
        <v>2</v>
      </c>
      <c r="R9" t="s">
        <v>152</v>
      </c>
      <c r="S9" t="s">
        <v>599</v>
      </c>
      <c r="T9" s="22">
        <v>21</v>
      </c>
      <c r="U9" s="22">
        <v>20</v>
      </c>
      <c r="V9" s="22">
        <v>18</v>
      </c>
      <c r="W9" s="22">
        <v>15</v>
      </c>
      <c r="X9" s="22">
        <v>11</v>
      </c>
      <c r="Y9" s="22">
        <v>8</v>
      </c>
      <c r="Z9" s="22">
        <v>8</v>
      </c>
      <c r="AA9" s="22">
        <v>10</v>
      </c>
      <c r="AB9" s="22">
        <v>11</v>
      </c>
      <c r="AC9" s="22">
        <v>14</v>
      </c>
      <c r="AD9" s="22">
        <v>17</v>
      </c>
      <c r="AE9" s="22">
        <v>19</v>
      </c>
      <c r="AF9" s="24">
        <f t="shared" si="0"/>
        <v>5.5</v>
      </c>
      <c r="AG9" s="24">
        <f t="shared" si="1"/>
        <v>20</v>
      </c>
      <c r="AH9" s="25">
        <f t="shared" si="2"/>
        <v>0.98360692753912782</v>
      </c>
      <c r="AI9" s="25">
        <f t="shared" si="3"/>
        <v>1</v>
      </c>
      <c r="AJ9" s="25">
        <f t="shared" si="4"/>
        <v>0.93602255789541478</v>
      </c>
      <c r="AK9" s="25">
        <f t="shared" si="5"/>
        <v>0.66151465564937462</v>
      </c>
      <c r="AL9" s="25">
        <f t="shared" si="6"/>
        <v>0.26214880584576306</v>
      </c>
      <c r="AM9" s="25">
        <f t="shared" si="7"/>
        <v>9.2535281158422036E-2</v>
      </c>
      <c r="AN9" s="25">
        <f t="shared" si="8"/>
        <v>9.2535281158422036E-2</v>
      </c>
      <c r="AO9" s="25">
        <f t="shared" si="9"/>
        <v>0.19149519501466308</v>
      </c>
      <c r="AP9" s="25">
        <f t="shared" si="10"/>
        <v>0.26214880584576306</v>
      </c>
      <c r="AQ9" s="25">
        <f t="shared" si="11"/>
        <v>0.5515397744971644</v>
      </c>
      <c r="AR9" s="25">
        <f t="shared" si="12"/>
        <v>0.86177563141715641</v>
      </c>
      <c r="AS9" s="25">
        <f t="shared" si="13"/>
        <v>0.98360692753912782</v>
      </c>
      <c r="AT9">
        <v>1</v>
      </c>
      <c r="AU9">
        <v>7</v>
      </c>
      <c r="AV9" s="31">
        <f t="shared" si="14"/>
        <v>7</v>
      </c>
      <c r="AW9" s="31">
        <f t="shared" si="15"/>
        <v>7</v>
      </c>
      <c r="AX9" s="31">
        <f t="shared" si="16"/>
        <v>7</v>
      </c>
      <c r="AY9" s="31">
        <f t="shared" si="17"/>
        <v>10</v>
      </c>
      <c r="AZ9" s="31">
        <f t="shared" si="18"/>
        <v>14</v>
      </c>
      <c r="BA9" s="31">
        <f t="shared" si="19"/>
        <v>0</v>
      </c>
      <c r="BB9" s="31">
        <f t="shared" si="20"/>
        <v>0</v>
      </c>
      <c r="BC9" s="31">
        <f t="shared" si="21"/>
        <v>0</v>
      </c>
      <c r="BD9" s="31">
        <f t="shared" si="22"/>
        <v>14</v>
      </c>
      <c r="BE9" s="31">
        <f t="shared" si="23"/>
        <v>10</v>
      </c>
      <c r="BF9" s="31">
        <f t="shared" si="24"/>
        <v>7</v>
      </c>
      <c r="BG9" s="31">
        <f t="shared" si="25"/>
        <v>7</v>
      </c>
      <c r="BH9">
        <f t="shared" si="26"/>
        <v>4</v>
      </c>
      <c r="BI9">
        <f t="shared" si="27"/>
        <v>4</v>
      </c>
      <c r="BJ9">
        <f t="shared" si="28"/>
        <v>4</v>
      </c>
      <c r="BK9">
        <f t="shared" si="29"/>
        <v>3</v>
      </c>
      <c r="BL9">
        <f t="shared" si="30"/>
        <v>2</v>
      </c>
      <c r="BM9">
        <f t="shared" si="31"/>
        <v>0</v>
      </c>
      <c r="BN9">
        <f t="shared" si="32"/>
        <v>0</v>
      </c>
      <c r="BO9">
        <f t="shared" si="33"/>
        <v>0</v>
      </c>
      <c r="BP9">
        <f t="shared" si="34"/>
        <v>2</v>
      </c>
      <c r="BQ9">
        <f t="shared" si="35"/>
        <v>3</v>
      </c>
      <c r="BR9">
        <f t="shared" si="36"/>
        <v>4</v>
      </c>
      <c r="BS9">
        <f t="shared" si="37"/>
        <v>4</v>
      </c>
      <c r="BT9" s="4">
        <f t="shared" si="38"/>
        <v>30</v>
      </c>
      <c r="BU9" s="8" t="str">
        <f>LOOKUP(D9,'Mower Equipment EFs'!B$2:B$6,'Mower Equipment EFs'!A$2:A$6)</f>
        <v>John Deere 7500A fairway mower</v>
      </c>
      <c r="BV9" s="8">
        <f>LOOKUP(D9,'Mower Equipment EFs'!B$2:B$6,'Mower Equipment EFs'!H$2:H$6)</f>
        <v>2.2621799999999999</v>
      </c>
      <c r="BW9">
        <f t="shared" si="39"/>
        <v>6.7865399999999996</v>
      </c>
      <c r="BX9">
        <f t="shared" si="40"/>
        <v>3.5</v>
      </c>
      <c r="BY9" s="35">
        <f t="shared" si="41"/>
        <v>24.076254452461399</v>
      </c>
      <c r="BZ9">
        <f t="shared" si="42"/>
        <v>0.37834114139582198</v>
      </c>
      <c r="CA9">
        <v>0.23599999999999999</v>
      </c>
      <c r="CB9">
        <v>270</v>
      </c>
      <c r="CC9" s="5">
        <f t="shared" si="43"/>
        <v>102.15210817687193</v>
      </c>
      <c r="CD9" s="5">
        <f t="shared" si="44"/>
        <v>63.72</v>
      </c>
      <c r="CE9" s="32">
        <v>3.7810000000000001</v>
      </c>
      <c r="CF9" s="5">
        <f t="shared" si="45"/>
        <v>91.032318084756554</v>
      </c>
      <c r="CG9" s="26">
        <f t="shared" si="46"/>
        <v>199.97096626162849</v>
      </c>
      <c r="CH9" s="5">
        <f t="shared" si="47"/>
        <v>70.506540000000001</v>
      </c>
      <c r="CJ9" s="27"/>
      <c r="CK9" s="15"/>
      <c r="CL9" s="27"/>
    </row>
    <row r="10" spans="1:90">
      <c r="A10" t="s">
        <v>64</v>
      </c>
      <c r="B10" t="s">
        <v>146</v>
      </c>
      <c r="C10" t="s">
        <v>53</v>
      </c>
      <c r="D10" t="s">
        <v>175</v>
      </c>
      <c r="E10" t="s">
        <v>236</v>
      </c>
      <c r="F10" t="s">
        <v>227</v>
      </c>
      <c r="G10" t="s">
        <v>67</v>
      </c>
      <c r="H10">
        <v>-33.667518000000001</v>
      </c>
      <c r="I10">
        <v>-70.599805000000003</v>
      </c>
      <c r="J10" t="s">
        <v>65</v>
      </c>
      <c r="K10" t="s">
        <v>66</v>
      </c>
      <c r="L10" t="s">
        <v>445</v>
      </c>
      <c r="M10" t="s">
        <v>517</v>
      </c>
      <c r="N10">
        <v>0</v>
      </c>
      <c r="O10">
        <v>30</v>
      </c>
      <c r="P10">
        <v>0</v>
      </c>
      <c r="Q10">
        <v>2</v>
      </c>
      <c r="R10" t="s">
        <v>153</v>
      </c>
      <c r="S10" t="s">
        <v>598</v>
      </c>
      <c r="T10" s="22">
        <v>21</v>
      </c>
      <c r="U10" s="22">
        <v>20</v>
      </c>
      <c r="V10" s="22">
        <v>18</v>
      </c>
      <c r="W10" s="22">
        <v>15</v>
      </c>
      <c r="X10" s="22">
        <v>11</v>
      </c>
      <c r="Y10" s="22">
        <v>8</v>
      </c>
      <c r="Z10" s="22">
        <v>8</v>
      </c>
      <c r="AA10" s="22">
        <v>10</v>
      </c>
      <c r="AB10" s="22">
        <v>11</v>
      </c>
      <c r="AC10" s="22">
        <v>14</v>
      </c>
      <c r="AD10" s="22">
        <v>17</v>
      </c>
      <c r="AE10" s="22">
        <v>19</v>
      </c>
      <c r="AF10" s="24">
        <f t="shared" si="0"/>
        <v>7</v>
      </c>
      <c r="AG10" s="24">
        <f t="shared" si="1"/>
        <v>31</v>
      </c>
      <c r="AH10" s="25">
        <f t="shared" si="2"/>
        <v>0.36044778859782101</v>
      </c>
      <c r="AI10" s="25">
        <f t="shared" si="3"/>
        <v>0.29092380704614818</v>
      </c>
      <c r="AJ10" s="25">
        <f t="shared" si="4"/>
        <v>0.17826397958504792</v>
      </c>
      <c r="AK10" s="25">
        <f t="shared" si="5"/>
        <v>7.3369651368382902E-2</v>
      </c>
      <c r="AL10" s="25">
        <f t="shared" si="6"/>
        <v>1.6879884148789909E-2</v>
      </c>
      <c r="AM10" s="25">
        <f t="shared" si="7"/>
        <v>4.5258078667667224E-3</v>
      </c>
      <c r="AN10" s="25">
        <f t="shared" si="8"/>
        <v>4.5258078667667224E-3</v>
      </c>
      <c r="AO10" s="25">
        <f t="shared" si="9"/>
        <v>1.1108996538242306E-2</v>
      </c>
      <c r="AP10" s="25">
        <f t="shared" si="10"/>
        <v>1.6879884148789909E-2</v>
      </c>
      <c r="AQ10" s="25">
        <f t="shared" si="11"/>
        <v>5.2393141069825601E-2</v>
      </c>
      <c r="AR10" s="25">
        <f t="shared" si="12"/>
        <v>0.1353352832366127</v>
      </c>
      <c r="AS10" s="25">
        <f t="shared" si="13"/>
        <v>0.23006629899380912</v>
      </c>
      <c r="AT10">
        <v>1</v>
      </c>
      <c r="AU10">
        <v>7</v>
      </c>
      <c r="AV10" s="31">
        <f t="shared" si="14"/>
        <v>14</v>
      </c>
      <c r="AW10" s="31">
        <f t="shared" si="15"/>
        <v>14</v>
      </c>
      <c r="AX10" s="31">
        <f t="shared" si="16"/>
        <v>0</v>
      </c>
      <c r="AY10" s="31">
        <f t="shared" si="17"/>
        <v>0</v>
      </c>
      <c r="AZ10" s="31">
        <f t="shared" si="18"/>
        <v>0</v>
      </c>
      <c r="BA10" s="31">
        <f t="shared" si="19"/>
        <v>0</v>
      </c>
      <c r="BB10" s="31">
        <f t="shared" si="20"/>
        <v>0</v>
      </c>
      <c r="BC10" s="31">
        <f t="shared" si="21"/>
        <v>0</v>
      </c>
      <c r="BD10" s="31">
        <f t="shared" si="22"/>
        <v>0</v>
      </c>
      <c r="BE10" s="31">
        <f t="shared" si="23"/>
        <v>0</v>
      </c>
      <c r="BF10" s="31">
        <f t="shared" si="24"/>
        <v>0</v>
      </c>
      <c r="BG10" s="31">
        <f t="shared" si="25"/>
        <v>14</v>
      </c>
      <c r="BH10">
        <f t="shared" si="26"/>
        <v>2</v>
      </c>
      <c r="BI10">
        <f t="shared" si="27"/>
        <v>2</v>
      </c>
      <c r="BJ10">
        <f t="shared" si="28"/>
        <v>0</v>
      </c>
      <c r="BK10">
        <f t="shared" si="29"/>
        <v>0</v>
      </c>
      <c r="BL10">
        <f t="shared" si="30"/>
        <v>0</v>
      </c>
      <c r="BM10">
        <f t="shared" si="31"/>
        <v>0</v>
      </c>
      <c r="BN10">
        <f t="shared" si="32"/>
        <v>0</v>
      </c>
      <c r="BO10">
        <f t="shared" si="33"/>
        <v>0</v>
      </c>
      <c r="BP10">
        <f t="shared" si="34"/>
        <v>0</v>
      </c>
      <c r="BQ10">
        <f t="shared" si="35"/>
        <v>0</v>
      </c>
      <c r="BR10">
        <f t="shared" si="36"/>
        <v>0</v>
      </c>
      <c r="BS10">
        <f t="shared" si="37"/>
        <v>2</v>
      </c>
      <c r="BT10" s="4">
        <f t="shared" si="38"/>
        <v>6</v>
      </c>
      <c r="BU10" s="8" t="str">
        <f>LOOKUP(D10,'Mower Equipment EFs'!B$2:B$6,'Mower Equipment EFs'!A$2:A$6)</f>
        <v>John Deere 7500A fairway mower</v>
      </c>
      <c r="BV10" s="8">
        <f>LOOKUP(D10,'Mower Equipment EFs'!B$2:B$6,'Mower Equipment EFs'!H$2:H$6)</f>
        <v>2.2621799999999999</v>
      </c>
      <c r="BW10">
        <f t="shared" si="39"/>
        <v>1.3573079999999997</v>
      </c>
      <c r="BX10">
        <f t="shared" si="40"/>
        <v>4</v>
      </c>
      <c r="BY10" s="35">
        <f t="shared" si="41"/>
        <v>5.4988813218680122</v>
      </c>
      <c r="BZ10">
        <f t="shared" si="42"/>
        <v>8.6410992200783049E-2</v>
      </c>
      <c r="CA10">
        <v>0.23599999999999999</v>
      </c>
      <c r="CB10">
        <v>270</v>
      </c>
      <c r="CC10" s="5">
        <f t="shared" si="43"/>
        <v>23.330967894211422</v>
      </c>
      <c r="CD10" s="5">
        <f t="shared" si="44"/>
        <v>63.72</v>
      </c>
      <c r="CE10" s="32">
        <v>3.7810000000000001</v>
      </c>
      <c r="CF10" s="5">
        <f t="shared" si="45"/>
        <v>20.791270277982953</v>
      </c>
      <c r="CG10" s="26">
        <f t="shared" si="46"/>
        <v>45.479546172194375</v>
      </c>
      <c r="CH10" s="5">
        <f t="shared" si="47"/>
        <v>65.077308000000002</v>
      </c>
      <c r="CJ10" s="27"/>
      <c r="CK10" s="15"/>
      <c r="CL10" s="27"/>
    </row>
    <row r="11" spans="1:90">
      <c r="A11" t="s">
        <v>60</v>
      </c>
      <c r="B11" t="s">
        <v>61</v>
      </c>
      <c r="C11" t="s">
        <v>53</v>
      </c>
      <c r="D11" t="s">
        <v>8</v>
      </c>
      <c r="E11" t="s">
        <v>211</v>
      </c>
      <c r="F11" t="s">
        <v>227</v>
      </c>
      <c r="G11" t="s">
        <v>63</v>
      </c>
      <c r="H11">
        <v>39.231389</v>
      </c>
      <c r="I11">
        <v>-96.580832999999998</v>
      </c>
      <c r="J11" t="s">
        <v>46</v>
      </c>
      <c r="K11" t="s">
        <v>447</v>
      </c>
      <c r="L11" t="s">
        <v>512</v>
      </c>
      <c r="M11" t="s">
        <v>519</v>
      </c>
      <c r="N11">
        <v>0</v>
      </c>
      <c r="O11">
        <v>30</v>
      </c>
      <c r="P11">
        <v>0</v>
      </c>
      <c r="Q11">
        <v>3</v>
      </c>
      <c r="R11" t="s">
        <v>237</v>
      </c>
      <c r="S11" t="s">
        <v>589</v>
      </c>
      <c r="T11" s="22">
        <v>-2</v>
      </c>
      <c r="U11" s="22">
        <v>0</v>
      </c>
      <c r="V11" s="22">
        <v>6</v>
      </c>
      <c r="W11" s="22">
        <v>12</v>
      </c>
      <c r="X11" s="22">
        <v>18</v>
      </c>
      <c r="Y11" s="22">
        <v>23</v>
      </c>
      <c r="Z11" s="22">
        <v>26</v>
      </c>
      <c r="AA11" s="22">
        <v>25</v>
      </c>
      <c r="AB11" s="22">
        <v>20</v>
      </c>
      <c r="AC11" s="22">
        <v>14</v>
      </c>
      <c r="AD11" s="22">
        <v>6</v>
      </c>
      <c r="AE11" s="22">
        <v>0</v>
      </c>
      <c r="AF11" s="24">
        <f t="shared" si="0"/>
        <v>7</v>
      </c>
      <c r="AG11" s="24">
        <f t="shared" si="1"/>
        <v>31</v>
      </c>
      <c r="AH11" s="25">
        <f t="shared" si="2"/>
        <v>1.4928403298804427E-5</v>
      </c>
      <c r="AI11" s="25">
        <f t="shared" si="3"/>
        <v>5.5113137010524554E-5</v>
      </c>
      <c r="AJ11" s="25">
        <f t="shared" si="4"/>
        <v>1.6992793655526571E-3</v>
      </c>
      <c r="AK11" s="25">
        <f t="shared" si="5"/>
        <v>2.5130488985274403E-2</v>
      </c>
      <c r="AL11" s="25">
        <f t="shared" si="6"/>
        <v>0.17826397958504792</v>
      </c>
      <c r="AM11" s="25">
        <f t="shared" si="7"/>
        <v>0.52045012102070209</v>
      </c>
      <c r="AN11" s="25">
        <f t="shared" si="8"/>
        <v>0.77483742888324936</v>
      </c>
      <c r="AO11" s="25">
        <f t="shared" si="9"/>
        <v>0.69256932420519779</v>
      </c>
      <c r="AP11" s="25">
        <f t="shared" si="10"/>
        <v>0.29092380704614818</v>
      </c>
      <c r="AQ11" s="25">
        <f t="shared" si="11"/>
        <v>5.2393141069825601E-2</v>
      </c>
      <c r="AR11" s="25">
        <f t="shared" si="12"/>
        <v>1.6992793655526571E-3</v>
      </c>
      <c r="AS11" s="25">
        <f t="shared" si="13"/>
        <v>5.5113137010524554E-5</v>
      </c>
      <c r="AT11">
        <v>2</v>
      </c>
      <c r="AU11">
        <v>3.5</v>
      </c>
      <c r="AV11" s="31">
        <f t="shared" si="14"/>
        <v>0</v>
      </c>
      <c r="AW11" s="31">
        <f t="shared" si="15"/>
        <v>0</v>
      </c>
      <c r="AX11" s="31">
        <f t="shared" si="16"/>
        <v>0</v>
      </c>
      <c r="AY11" s="31">
        <f t="shared" si="17"/>
        <v>0</v>
      </c>
      <c r="AZ11" s="31">
        <f t="shared" si="18"/>
        <v>0</v>
      </c>
      <c r="BA11" s="31">
        <f t="shared" si="19"/>
        <v>5</v>
      </c>
      <c r="BB11" s="31">
        <f t="shared" si="20"/>
        <v>3.5</v>
      </c>
      <c r="BC11" s="31">
        <f t="shared" si="21"/>
        <v>5</v>
      </c>
      <c r="BD11" s="31">
        <f t="shared" si="22"/>
        <v>7</v>
      </c>
      <c r="BE11" s="31">
        <f t="shared" si="23"/>
        <v>0</v>
      </c>
      <c r="BF11" s="31">
        <f t="shared" si="24"/>
        <v>0</v>
      </c>
      <c r="BG11" s="31">
        <f t="shared" si="25"/>
        <v>0</v>
      </c>
      <c r="BH11">
        <f t="shared" si="26"/>
        <v>0</v>
      </c>
      <c r="BI11">
        <f t="shared" si="27"/>
        <v>0</v>
      </c>
      <c r="BJ11">
        <f t="shared" si="28"/>
        <v>0</v>
      </c>
      <c r="BK11">
        <f t="shared" si="29"/>
        <v>0</v>
      </c>
      <c r="BL11">
        <f t="shared" si="30"/>
        <v>0</v>
      </c>
      <c r="BM11">
        <f t="shared" si="31"/>
        <v>6</v>
      </c>
      <c r="BN11">
        <f t="shared" si="32"/>
        <v>9</v>
      </c>
      <c r="BO11">
        <f t="shared" si="33"/>
        <v>6</v>
      </c>
      <c r="BP11">
        <f t="shared" si="34"/>
        <v>4</v>
      </c>
      <c r="BQ11">
        <f t="shared" si="35"/>
        <v>0</v>
      </c>
      <c r="BR11">
        <f t="shared" si="36"/>
        <v>0</v>
      </c>
      <c r="BS11">
        <f t="shared" si="37"/>
        <v>0</v>
      </c>
      <c r="BT11" s="4">
        <f t="shared" si="38"/>
        <v>25</v>
      </c>
      <c r="BU11" s="8" t="str">
        <f>LOOKUP(D11,'Mower Equipment EFs'!B$2:B$6,'Mower Equipment EFs'!A$2:A$6)</f>
        <v>John Deere 7500A fairway mower</v>
      </c>
      <c r="BV11" s="8">
        <f>LOOKUP(D11,'Mower Equipment EFs'!B$2:B$6,'Mower Equipment EFs'!H$2:H$6)</f>
        <v>2.2621799999999999</v>
      </c>
      <c r="BW11">
        <f t="shared" si="39"/>
        <v>5.6554499999999992</v>
      </c>
      <c r="BX11">
        <f t="shared" si="40"/>
        <v>4</v>
      </c>
      <c r="BY11" s="35">
        <f t="shared" si="41"/>
        <v>10.152368016815482</v>
      </c>
      <c r="BZ11">
        <f t="shared" si="42"/>
        <v>0.15953721169281471</v>
      </c>
      <c r="CA11">
        <v>0.23599999999999999</v>
      </c>
      <c r="CB11">
        <v>270</v>
      </c>
      <c r="CC11" s="5">
        <f t="shared" si="43"/>
        <v>43.07504715705997</v>
      </c>
      <c r="CD11" s="5">
        <f t="shared" si="44"/>
        <v>63.72</v>
      </c>
      <c r="CE11" s="32">
        <v>3.7810000000000001</v>
      </c>
      <c r="CF11" s="5">
        <f t="shared" si="45"/>
        <v>38.386103471579339</v>
      </c>
      <c r="CG11" s="26">
        <f t="shared" si="46"/>
        <v>87.116600628639304</v>
      </c>
      <c r="CH11" s="5">
        <f t="shared" si="47"/>
        <v>69.375450000000001</v>
      </c>
      <c r="CJ11" s="27"/>
      <c r="CK11" s="15"/>
      <c r="CL11" s="27"/>
    </row>
    <row r="12" spans="1:90">
      <c r="A12" t="s">
        <v>60</v>
      </c>
      <c r="B12" t="s">
        <v>62</v>
      </c>
      <c r="C12" t="s">
        <v>53</v>
      </c>
      <c r="D12" t="s">
        <v>8</v>
      </c>
      <c r="E12" t="s">
        <v>211</v>
      </c>
      <c r="F12" t="s">
        <v>227</v>
      </c>
      <c r="G12" t="s">
        <v>63</v>
      </c>
      <c r="H12">
        <v>39.231389</v>
      </c>
      <c r="I12">
        <v>-96.580832999999998</v>
      </c>
      <c r="J12" t="s">
        <v>46</v>
      </c>
      <c r="K12" t="s">
        <v>447</v>
      </c>
      <c r="L12" t="s">
        <v>512</v>
      </c>
      <c r="M12" t="s">
        <v>519</v>
      </c>
      <c r="N12">
        <v>0</v>
      </c>
      <c r="O12">
        <v>30</v>
      </c>
      <c r="P12">
        <v>0</v>
      </c>
      <c r="Q12">
        <v>3</v>
      </c>
      <c r="R12" t="s">
        <v>238</v>
      </c>
      <c r="S12" t="s">
        <v>597</v>
      </c>
      <c r="T12" s="22">
        <v>-2</v>
      </c>
      <c r="U12" s="22">
        <v>0</v>
      </c>
      <c r="V12" s="22">
        <v>6</v>
      </c>
      <c r="W12" s="22">
        <v>12</v>
      </c>
      <c r="X12" s="22">
        <v>18</v>
      </c>
      <c r="Y12" s="22">
        <v>23</v>
      </c>
      <c r="Z12" s="22">
        <v>26</v>
      </c>
      <c r="AA12" s="22">
        <v>25</v>
      </c>
      <c r="AB12" s="22">
        <v>20</v>
      </c>
      <c r="AC12" s="22">
        <v>14</v>
      </c>
      <c r="AD12" s="22">
        <v>6</v>
      </c>
      <c r="AE12" s="22">
        <v>0</v>
      </c>
      <c r="AF12" s="24">
        <f t="shared" si="0"/>
        <v>7</v>
      </c>
      <c r="AG12" s="24">
        <f t="shared" si="1"/>
        <v>31</v>
      </c>
      <c r="AH12" s="25">
        <f t="shared" si="2"/>
        <v>1.4928403298804427E-5</v>
      </c>
      <c r="AI12" s="25">
        <f t="shared" si="3"/>
        <v>5.5113137010524554E-5</v>
      </c>
      <c r="AJ12" s="25">
        <f t="shared" si="4"/>
        <v>1.6992793655526571E-3</v>
      </c>
      <c r="AK12" s="25">
        <f t="shared" si="5"/>
        <v>2.5130488985274403E-2</v>
      </c>
      <c r="AL12" s="25">
        <f t="shared" si="6"/>
        <v>0.17826397958504792</v>
      </c>
      <c r="AM12" s="25">
        <f t="shared" si="7"/>
        <v>0.52045012102070209</v>
      </c>
      <c r="AN12" s="25">
        <f t="shared" si="8"/>
        <v>0.77483742888324936</v>
      </c>
      <c r="AO12" s="25">
        <f t="shared" si="9"/>
        <v>0.69256932420519779</v>
      </c>
      <c r="AP12" s="25">
        <f t="shared" si="10"/>
        <v>0.29092380704614818</v>
      </c>
      <c r="AQ12" s="25">
        <f t="shared" si="11"/>
        <v>5.2393141069825601E-2</v>
      </c>
      <c r="AR12" s="25">
        <f t="shared" si="12"/>
        <v>1.6992793655526571E-3</v>
      </c>
      <c r="AS12" s="25">
        <f t="shared" si="13"/>
        <v>5.5113137010524554E-5</v>
      </c>
      <c r="AT12">
        <v>2</v>
      </c>
      <c r="AU12">
        <v>3.5</v>
      </c>
      <c r="AV12" s="31">
        <f t="shared" si="14"/>
        <v>0</v>
      </c>
      <c r="AW12" s="31">
        <f t="shared" si="15"/>
        <v>0</v>
      </c>
      <c r="AX12" s="31">
        <f t="shared" si="16"/>
        <v>0</v>
      </c>
      <c r="AY12" s="31">
        <f t="shared" si="17"/>
        <v>0</v>
      </c>
      <c r="AZ12" s="31">
        <f t="shared" si="18"/>
        <v>0</v>
      </c>
      <c r="BA12" s="31">
        <f t="shared" si="19"/>
        <v>5</v>
      </c>
      <c r="BB12" s="31">
        <f t="shared" si="20"/>
        <v>3.5</v>
      </c>
      <c r="BC12" s="31">
        <f t="shared" si="21"/>
        <v>5</v>
      </c>
      <c r="BD12" s="31">
        <f t="shared" si="22"/>
        <v>7</v>
      </c>
      <c r="BE12" s="31">
        <f t="shared" si="23"/>
        <v>0</v>
      </c>
      <c r="BF12" s="31">
        <f t="shared" si="24"/>
        <v>0</v>
      </c>
      <c r="BG12" s="31">
        <f t="shared" si="25"/>
        <v>0</v>
      </c>
      <c r="BH12">
        <f t="shared" si="26"/>
        <v>0</v>
      </c>
      <c r="BI12">
        <f t="shared" si="27"/>
        <v>0</v>
      </c>
      <c r="BJ12">
        <f t="shared" si="28"/>
        <v>0</v>
      </c>
      <c r="BK12">
        <f t="shared" si="29"/>
        <v>0</v>
      </c>
      <c r="BL12">
        <f t="shared" si="30"/>
        <v>0</v>
      </c>
      <c r="BM12">
        <f t="shared" si="31"/>
        <v>6</v>
      </c>
      <c r="BN12">
        <f t="shared" si="32"/>
        <v>9</v>
      </c>
      <c r="BO12">
        <f t="shared" si="33"/>
        <v>6</v>
      </c>
      <c r="BP12">
        <f t="shared" si="34"/>
        <v>4</v>
      </c>
      <c r="BQ12">
        <f t="shared" si="35"/>
        <v>0</v>
      </c>
      <c r="BR12">
        <f t="shared" si="36"/>
        <v>0</v>
      </c>
      <c r="BS12">
        <f t="shared" si="37"/>
        <v>0</v>
      </c>
      <c r="BT12" s="4">
        <f t="shared" si="38"/>
        <v>25</v>
      </c>
      <c r="BU12" s="8" t="str">
        <f>LOOKUP(D12,'Mower Equipment EFs'!B$2:B$6,'Mower Equipment EFs'!A$2:A$6)</f>
        <v>John Deere 7500A fairway mower</v>
      </c>
      <c r="BV12" s="8">
        <f>LOOKUP(D12,'Mower Equipment EFs'!B$2:B$6,'Mower Equipment EFs'!H$2:H$6)</f>
        <v>2.2621799999999999</v>
      </c>
      <c r="BW12">
        <f t="shared" si="39"/>
        <v>5.6554499999999992</v>
      </c>
      <c r="BX12">
        <f t="shared" si="40"/>
        <v>4</v>
      </c>
      <c r="BY12" s="35">
        <f t="shared" si="41"/>
        <v>10.152368016815482</v>
      </c>
      <c r="BZ12">
        <f t="shared" si="42"/>
        <v>0.15953721169281471</v>
      </c>
      <c r="CA12">
        <v>0.23599999999999999</v>
      </c>
      <c r="CB12">
        <v>270</v>
      </c>
      <c r="CC12" s="5">
        <f t="shared" si="43"/>
        <v>43.07504715705997</v>
      </c>
      <c r="CD12" s="5">
        <f t="shared" si="44"/>
        <v>63.72</v>
      </c>
      <c r="CE12" s="32">
        <v>3.7810000000000001</v>
      </c>
      <c r="CF12" s="5">
        <f t="shared" si="45"/>
        <v>38.386103471579339</v>
      </c>
      <c r="CG12" s="26">
        <f t="shared" si="46"/>
        <v>87.116600628639304</v>
      </c>
      <c r="CH12" s="5">
        <f t="shared" si="47"/>
        <v>69.375450000000001</v>
      </c>
      <c r="CJ12" s="27"/>
      <c r="CK12" s="15"/>
      <c r="CL12" s="27"/>
    </row>
    <row r="13" spans="1:90">
      <c r="A13" t="s">
        <v>88</v>
      </c>
      <c r="B13" t="s">
        <v>200</v>
      </c>
      <c r="C13" t="s">
        <v>7</v>
      </c>
      <c r="D13" t="s">
        <v>9</v>
      </c>
      <c r="E13" t="s">
        <v>231</v>
      </c>
      <c r="F13" t="s">
        <v>801</v>
      </c>
      <c r="G13" t="s">
        <v>137</v>
      </c>
      <c r="H13">
        <v>37.154763835251103</v>
      </c>
      <c r="I13">
        <v>-80.376524323913301</v>
      </c>
      <c r="J13" t="s">
        <v>47</v>
      </c>
      <c r="K13" t="s">
        <v>11</v>
      </c>
      <c r="L13" t="s">
        <v>11</v>
      </c>
      <c r="M13" t="s">
        <v>513</v>
      </c>
      <c r="N13">
        <v>0</v>
      </c>
      <c r="O13">
        <v>30</v>
      </c>
      <c r="P13">
        <v>5</v>
      </c>
      <c r="Q13">
        <v>52</v>
      </c>
      <c r="R13" t="s">
        <v>273</v>
      </c>
      <c r="S13" t="s">
        <v>548</v>
      </c>
      <c r="T13" s="22">
        <v>2.6</v>
      </c>
      <c r="U13" s="22">
        <v>4.2</v>
      </c>
      <c r="V13" s="22">
        <v>8.5</v>
      </c>
      <c r="W13" s="22">
        <v>13.7</v>
      </c>
      <c r="X13" s="22">
        <v>18.100000000000001</v>
      </c>
      <c r="Y13" s="22">
        <v>22.7</v>
      </c>
      <c r="Z13" s="22">
        <v>24.8</v>
      </c>
      <c r="AA13" s="22">
        <v>24.1</v>
      </c>
      <c r="AB13" s="22">
        <v>20.100000000000001</v>
      </c>
      <c r="AC13" s="22">
        <v>14.3</v>
      </c>
      <c r="AD13" s="22">
        <v>8.9</v>
      </c>
      <c r="AE13" s="22">
        <v>3.9</v>
      </c>
      <c r="AF13" s="24">
        <f t="shared" si="0"/>
        <v>7</v>
      </c>
      <c r="AG13" s="24">
        <f t="shared" si="1"/>
        <v>31</v>
      </c>
      <c r="AH13" s="25">
        <f t="shared" si="2"/>
        <v>2.6648194063332926E-4</v>
      </c>
      <c r="AI13" s="25">
        <f t="shared" si="3"/>
        <v>6.5624288118410574E-4</v>
      </c>
      <c r="AJ13" s="25">
        <f t="shared" si="4"/>
        <v>5.7084010172793569E-3</v>
      </c>
      <c r="AK13" s="25">
        <f t="shared" si="5"/>
        <v>4.7170829720485585E-2</v>
      </c>
      <c r="AL13" s="25">
        <f t="shared" si="6"/>
        <v>0.18303804995730585</v>
      </c>
      <c r="AM13" s="25">
        <f t="shared" si="7"/>
        <v>0.4951179887660232</v>
      </c>
      <c r="AN13" s="25">
        <f t="shared" si="8"/>
        <v>0.67553865566313176</v>
      </c>
      <c r="AO13" s="25">
        <f t="shared" si="9"/>
        <v>0.61519479189885307</v>
      </c>
      <c r="AP13" s="25">
        <f t="shared" si="10"/>
        <v>0.29749824928338175</v>
      </c>
      <c r="AQ13" s="25">
        <f t="shared" si="11"/>
        <v>5.8086829560292486E-2</v>
      </c>
      <c r="AR13" s="25">
        <f t="shared" si="12"/>
        <v>6.8481583956514561E-3</v>
      </c>
      <c r="AS13" s="25">
        <f t="shared" si="13"/>
        <v>5.5642420730851792E-4</v>
      </c>
      <c r="AT13">
        <v>1</v>
      </c>
      <c r="AU13">
        <v>7</v>
      </c>
      <c r="AV13" s="31">
        <f t="shared" si="14"/>
        <v>0</v>
      </c>
      <c r="AW13" s="31">
        <f t="shared" si="15"/>
        <v>0</v>
      </c>
      <c r="AX13" s="31">
        <f t="shared" si="16"/>
        <v>0</v>
      </c>
      <c r="AY13" s="31">
        <f t="shared" si="17"/>
        <v>0</v>
      </c>
      <c r="AZ13" s="31">
        <f t="shared" si="18"/>
        <v>0</v>
      </c>
      <c r="BA13" s="31">
        <f t="shared" si="19"/>
        <v>14</v>
      </c>
      <c r="BB13" s="31">
        <f t="shared" si="20"/>
        <v>10</v>
      </c>
      <c r="BC13" s="31">
        <f t="shared" si="21"/>
        <v>10</v>
      </c>
      <c r="BD13" s="31">
        <f t="shared" si="22"/>
        <v>14</v>
      </c>
      <c r="BE13" s="31">
        <f t="shared" si="23"/>
        <v>0</v>
      </c>
      <c r="BF13" s="31">
        <f t="shared" si="24"/>
        <v>0</v>
      </c>
      <c r="BG13" s="31">
        <f t="shared" si="25"/>
        <v>0</v>
      </c>
      <c r="BH13">
        <f t="shared" si="26"/>
        <v>0</v>
      </c>
      <c r="BI13">
        <f t="shared" si="27"/>
        <v>0</v>
      </c>
      <c r="BJ13">
        <f t="shared" si="28"/>
        <v>0</v>
      </c>
      <c r="BK13">
        <f t="shared" si="29"/>
        <v>0</v>
      </c>
      <c r="BL13">
        <f t="shared" si="30"/>
        <v>0</v>
      </c>
      <c r="BM13">
        <f t="shared" si="31"/>
        <v>2</v>
      </c>
      <c r="BN13">
        <f t="shared" si="32"/>
        <v>3</v>
      </c>
      <c r="BO13">
        <f t="shared" si="33"/>
        <v>3</v>
      </c>
      <c r="BP13">
        <f t="shared" si="34"/>
        <v>2</v>
      </c>
      <c r="BQ13">
        <f t="shared" si="35"/>
        <v>0</v>
      </c>
      <c r="BR13">
        <f t="shared" si="36"/>
        <v>0</v>
      </c>
      <c r="BS13">
        <f t="shared" si="37"/>
        <v>0</v>
      </c>
      <c r="BT13" s="4">
        <f t="shared" si="38"/>
        <v>10</v>
      </c>
      <c r="BU13" s="8" t="str">
        <f>LOOKUP(D13,'Mower Equipment EFs'!B$2:B$6,'Mower Equipment EFs'!A$2:A$6)</f>
        <v>Push Mower</v>
      </c>
      <c r="BV13" s="8">
        <f>LOOKUP(D13,'Mower Equipment EFs'!B$2:B$6,'Mower Equipment EFs'!H$2:H$6)</f>
        <v>15.88</v>
      </c>
      <c r="BW13">
        <f t="shared" si="39"/>
        <v>15.88</v>
      </c>
      <c r="BX13">
        <f t="shared" si="40"/>
        <v>4</v>
      </c>
      <c r="BY13" s="35">
        <f t="shared" si="41"/>
        <v>9.5427244131661215</v>
      </c>
      <c r="BZ13">
        <f t="shared" si="42"/>
        <v>0.14995709792118192</v>
      </c>
      <c r="CA13">
        <v>0.23599999999999999</v>
      </c>
      <c r="CB13">
        <v>270</v>
      </c>
      <c r="CC13" s="5">
        <f t="shared" si="43"/>
        <v>40.488416438719121</v>
      </c>
      <c r="CD13" s="5">
        <f t="shared" si="44"/>
        <v>63.72</v>
      </c>
      <c r="CE13" s="32">
        <v>3.7810000000000001</v>
      </c>
      <c r="CF13" s="5">
        <f t="shared" si="45"/>
        <v>36.08104100618111</v>
      </c>
      <c r="CG13" s="26">
        <f t="shared" si="46"/>
        <v>92.449457444900233</v>
      </c>
      <c r="CH13" s="5">
        <f t="shared" si="47"/>
        <v>79.599999999999994</v>
      </c>
      <c r="CJ13" s="27"/>
      <c r="CK13" s="15"/>
      <c r="CL13" s="27"/>
    </row>
    <row r="14" spans="1:90">
      <c r="B14" t="s">
        <v>637</v>
      </c>
      <c r="C14" t="s">
        <v>7</v>
      </c>
      <c r="D14" t="s">
        <v>9</v>
      </c>
      <c r="E14" t="s">
        <v>231</v>
      </c>
      <c r="F14" t="s">
        <v>226</v>
      </c>
      <c r="G14" t="s">
        <v>137</v>
      </c>
      <c r="H14">
        <v>37.154763835251103</v>
      </c>
      <c r="I14">
        <v>-80.376524323913301</v>
      </c>
      <c r="J14" t="s">
        <v>47</v>
      </c>
      <c r="K14" t="s">
        <v>11</v>
      </c>
      <c r="L14" t="s">
        <v>11</v>
      </c>
      <c r="M14" t="s">
        <v>513</v>
      </c>
      <c r="N14">
        <v>0</v>
      </c>
      <c r="O14">
        <v>30</v>
      </c>
      <c r="P14">
        <v>5</v>
      </c>
      <c r="Q14">
        <v>52</v>
      </c>
      <c r="R14" t="s">
        <v>273</v>
      </c>
      <c r="S14" t="s">
        <v>548</v>
      </c>
      <c r="T14" s="22">
        <v>2.6</v>
      </c>
      <c r="U14" s="22">
        <v>4.2</v>
      </c>
      <c r="V14" s="22">
        <v>8.5</v>
      </c>
      <c r="W14" s="22">
        <v>13.7</v>
      </c>
      <c r="X14" s="22">
        <v>18.100000000000001</v>
      </c>
      <c r="Y14" s="22">
        <v>22.7</v>
      </c>
      <c r="Z14" s="22">
        <v>24.8</v>
      </c>
      <c r="AA14" s="22">
        <v>24.1</v>
      </c>
      <c r="AB14" s="22">
        <v>20.100000000000001</v>
      </c>
      <c r="AC14" s="22">
        <v>14.3</v>
      </c>
      <c r="AD14" s="22">
        <v>8.9</v>
      </c>
      <c r="AE14" s="22">
        <v>3.9</v>
      </c>
      <c r="AF14" s="24">
        <f t="shared" si="0"/>
        <v>5.5</v>
      </c>
      <c r="AG14" s="24">
        <f t="shared" si="1"/>
        <v>20</v>
      </c>
      <c r="AH14" s="25">
        <f t="shared" si="2"/>
        <v>6.7090526641138959E-3</v>
      </c>
      <c r="AI14" s="25">
        <f t="shared" si="3"/>
        <v>1.614280254118115E-2</v>
      </c>
      <c r="AJ14" s="25">
        <f t="shared" si="4"/>
        <v>0.11237088411256733</v>
      </c>
      <c r="AK14" s="25">
        <f t="shared" si="5"/>
        <v>0.51890572596710505</v>
      </c>
      <c r="AL14" s="25">
        <f t="shared" si="6"/>
        <v>0.94207591216748776</v>
      </c>
      <c r="AM14" s="25">
        <f t="shared" si="7"/>
        <v>0.88648075048140695</v>
      </c>
      <c r="AN14" s="25">
        <f t="shared" si="8"/>
        <v>0.68329646797294674</v>
      </c>
      <c r="AO14" s="25">
        <f t="shared" si="9"/>
        <v>0.75740948561961696</v>
      </c>
      <c r="AP14" s="25">
        <f t="shared" si="10"/>
        <v>0.99983472440331811</v>
      </c>
      <c r="AQ14" s="25">
        <f t="shared" si="11"/>
        <v>0.58448463058845879</v>
      </c>
      <c r="AR14" s="25">
        <f t="shared" si="12"/>
        <v>0.13048083442873259</v>
      </c>
      <c r="AS14" s="25">
        <f t="shared" si="13"/>
        <v>1.3781022561882666E-2</v>
      </c>
      <c r="AT14">
        <v>1</v>
      </c>
      <c r="AU14">
        <v>7</v>
      </c>
      <c r="AV14" s="31">
        <f t="shared" si="14"/>
        <v>0</v>
      </c>
      <c r="AW14" s="31">
        <f t="shared" si="15"/>
        <v>0</v>
      </c>
      <c r="AX14" s="31">
        <f t="shared" si="16"/>
        <v>0</v>
      </c>
      <c r="AY14" s="31">
        <f t="shared" si="17"/>
        <v>10</v>
      </c>
      <c r="AZ14" s="31">
        <f t="shared" si="18"/>
        <v>7</v>
      </c>
      <c r="BA14" s="31">
        <f t="shared" si="19"/>
        <v>7</v>
      </c>
      <c r="BB14" s="31">
        <f t="shared" si="20"/>
        <v>10</v>
      </c>
      <c r="BC14" s="31">
        <f t="shared" si="21"/>
        <v>7</v>
      </c>
      <c r="BD14" s="31">
        <f t="shared" si="22"/>
        <v>7</v>
      </c>
      <c r="BE14" s="31">
        <f t="shared" si="23"/>
        <v>10</v>
      </c>
      <c r="BF14" s="31">
        <f t="shared" si="24"/>
        <v>0</v>
      </c>
      <c r="BG14" s="31">
        <f t="shared" si="25"/>
        <v>0</v>
      </c>
      <c r="BH14">
        <f t="shared" si="26"/>
        <v>0</v>
      </c>
      <c r="BI14">
        <f t="shared" si="27"/>
        <v>0</v>
      </c>
      <c r="BJ14">
        <f t="shared" si="28"/>
        <v>0</v>
      </c>
      <c r="BK14">
        <f t="shared" si="29"/>
        <v>3</v>
      </c>
      <c r="BL14">
        <f t="shared" si="30"/>
        <v>4</v>
      </c>
      <c r="BM14">
        <f t="shared" si="31"/>
        <v>4</v>
      </c>
      <c r="BN14">
        <f t="shared" si="32"/>
        <v>3</v>
      </c>
      <c r="BO14">
        <f t="shared" si="33"/>
        <v>4</v>
      </c>
      <c r="BP14">
        <f t="shared" si="34"/>
        <v>4</v>
      </c>
      <c r="BQ14">
        <f t="shared" si="35"/>
        <v>3</v>
      </c>
      <c r="BR14">
        <f t="shared" si="36"/>
        <v>0</v>
      </c>
      <c r="BS14">
        <f t="shared" si="37"/>
        <v>0</v>
      </c>
      <c r="BT14" s="4">
        <f t="shared" si="38"/>
        <v>25</v>
      </c>
      <c r="BU14" s="8" t="str">
        <f>LOOKUP(D14,'Mower Equipment EFs'!B$2:B$6,'Mower Equipment EFs'!A$2:A$6)</f>
        <v>Push Mower</v>
      </c>
      <c r="BV14" s="8">
        <f>LOOKUP(D14,'Mower Equipment EFs'!B$2:B$6,'Mower Equipment EFs'!H$2:H$6)</f>
        <v>15.88</v>
      </c>
      <c r="BW14">
        <f t="shared" si="39"/>
        <v>39.700000000000003</v>
      </c>
      <c r="BX14">
        <f t="shared" si="40"/>
        <v>3.5</v>
      </c>
      <c r="BY14" s="35">
        <f t="shared" si="41"/>
        <v>19.781903027280862</v>
      </c>
      <c r="BZ14">
        <f t="shared" si="42"/>
        <v>0.31085847614298495</v>
      </c>
      <c r="CA14">
        <v>0.23599999999999999</v>
      </c>
      <c r="CB14">
        <v>270</v>
      </c>
      <c r="CC14" s="5">
        <f t="shared" si="43"/>
        <v>83.93178855860593</v>
      </c>
      <c r="CD14" s="5">
        <f t="shared" si="44"/>
        <v>63.72</v>
      </c>
      <c r="CE14" s="32">
        <v>3.7810000000000001</v>
      </c>
      <c r="CF14" s="5">
        <f t="shared" si="45"/>
        <v>74.795375346148944</v>
      </c>
      <c r="CG14" s="26">
        <f t="shared" si="46"/>
        <v>198.42716390475488</v>
      </c>
      <c r="CH14" s="5">
        <f t="shared" si="47"/>
        <v>103.42</v>
      </c>
      <c r="CJ14" s="27"/>
      <c r="CK14" s="15"/>
      <c r="CL14" s="27"/>
    </row>
    <row r="15" spans="1:90">
      <c r="B15" t="s">
        <v>638</v>
      </c>
      <c r="C15" t="s">
        <v>7</v>
      </c>
      <c r="D15" t="s">
        <v>9</v>
      </c>
      <c r="E15" t="s">
        <v>231</v>
      </c>
      <c r="F15" t="s">
        <v>227</v>
      </c>
      <c r="G15" t="s">
        <v>137</v>
      </c>
      <c r="H15">
        <v>37.154763835251103</v>
      </c>
      <c r="I15">
        <v>-80.376524323913301</v>
      </c>
      <c r="J15" t="s">
        <v>47</v>
      </c>
      <c r="K15" t="s">
        <v>11</v>
      </c>
      <c r="L15" t="s">
        <v>11</v>
      </c>
      <c r="M15" t="s">
        <v>513</v>
      </c>
      <c r="N15">
        <v>0</v>
      </c>
      <c r="O15">
        <v>30</v>
      </c>
      <c r="P15">
        <v>5</v>
      </c>
      <c r="Q15">
        <v>52</v>
      </c>
      <c r="R15" t="s">
        <v>273</v>
      </c>
      <c r="S15" t="s">
        <v>548</v>
      </c>
      <c r="T15" s="22">
        <v>2.6</v>
      </c>
      <c r="U15" s="22">
        <v>4.2</v>
      </c>
      <c r="V15" s="22">
        <v>8.5</v>
      </c>
      <c r="W15" s="22">
        <v>13.7</v>
      </c>
      <c r="X15" s="22">
        <v>18.100000000000001</v>
      </c>
      <c r="Y15" s="22">
        <v>22.7</v>
      </c>
      <c r="Z15" s="22">
        <v>24.8</v>
      </c>
      <c r="AA15" s="22">
        <v>24.1</v>
      </c>
      <c r="AB15" s="22">
        <v>20.100000000000001</v>
      </c>
      <c r="AC15" s="22">
        <v>14.3</v>
      </c>
      <c r="AD15" s="22">
        <v>8.9</v>
      </c>
      <c r="AE15" s="22">
        <v>3.9</v>
      </c>
      <c r="AF15" s="24">
        <f t="shared" si="0"/>
        <v>7</v>
      </c>
      <c r="AG15" s="24">
        <f t="shared" si="1"/>
        <v>31</v>
      </c>
      <c r="AH15" s="25">
        <f t="shared" si="2"/>
        <v>2.6648194063332926E-4</v>
      </c>
      <c r="AI15" s="25">
        <f t="shared" si="3"/>
        <v>6.5624288118410574E-4</v>
      </c>
      <c r="AJ15" s="25">
        <f t="shared" si="4"/>
        <v>5.7084010172793569E-3</v>
      </c>
      <c r="AK15" s="25">
        <f t="shared" si="5"/>
        <v>4.7170829720485585E-2</v>
      </c>
      <c r="AL15" s="25">
        <f t="shared" si="6"/>
        <v>0.18303804995730585</v>
      </c>
      <c r="AM15" s="25">
        <f t="shared" si="7"/>
        <v>0.4951179887660232</v>
      </c>
      <c r="AN15" s="25">
        <f t="shared" si="8"/>
        <v>0.67553865566313176</v>
      </c>
      <c r="AO15" s="25">
        <f t="shared" si="9"/>
        <v>0.61519479189885307</v>
      </c>
      <c r="AP15" s="25">
        <f t="shared" si="10"/>
        <v>0.29749824928338175</v>
      </c>
      <c r="AQ15" s="25">
        <f t="shared" si="11"/>
        <v>5.8086829560292486E-2</v>
      </c>
      <c r="AR15" s="25">
        <f t="shared" si="12"/>
        <v>6.8481583956514561E-3</v>
      </c>
      <c r="AS15" s="25">
        <f t="shared" si="13"/>
        <v>5.5642420730851792E-4</v>
      </c>
      <c r="AT15">
        <v>1</v>
      </c>
      <c r="AU15">
        <v>7</v>
      </c>
      <c r="AV15" s="31">
        <f t="shared" si="14"/>
        <v>0</v>
      </c>
      <c r="AW15" s="31">
        <f t="shared" si="15"/>
        <v>0</v>
      </c>
      <c r="AX15" s="31">
        <f t="shared" si="16"/>
        <v>0</v>
      </c>
      <c r="AY15" s="31">
        <f t="shared" si="17"/>
        <v>0</v>
      </c>
      <c r="AZ15" s="31">
        <f t="shared" si="18"/>
        <v>0</v>
      </c>
      <c r="BA15" s="31">
        <f t="shared" si="19"/>
        <v>14</v>
      </c>
      <c r="BB15" s="31">
        <f t="shared" si="20"/>
        <v>10</v>
      </c>
      <c r="BC15" s="31">
        <f t="shared" si="21"/>
        <v>10</v>
      </c>
      <c r="BD15" s="31">
        <f t="shared" si="22"/>
        <v>14</v>
      </c>
      <c r="BE15" s="31">
        <f t="shared" si="23"/>
        <v>0</v>
      </c>
      <c r="BF15" s="31">
        <f t="shared" si="24"/>
        <v>0</v>
      </c>
      <c r="BG15" s="31">
        <f t="shared" si="25"/>
        <v>0</v>
      </c>
      <c r="BH15">
        <f t="shared" si="26"/>
        <v>0</v>
      </c>
      <c r="BI15">
        <f t="shared" si="27"/>
        <v>0</v>
      </c>
      <c r="BJ15">
        <f t="shared" si="28"/>
        <v>0</v>
      </c>
      <c r="BK15">
        <f t="shared" si="29"/>
        <v>0</v>
      </c>
      <c r="BL15">
        <f t="shared" si="30"/>
        <v>0</v>
      </c>
      <c r="BM15">
        <f t="shared" si="31"/>
        <v>2</v>
      </c>
      <c r="BN15">
        <f t="shared" si="32"/>
        <v>3</v>
      </c>
      <c r="BO15">
        <f t="shared" si="33"/>
        <v>3</v>
      </c>
      <c r="BP15">
        <f t="shared" si="34"/>
        <v>2</v>
      </c>
      <c r="BQ15">
        <f t="shared" si="35"/>
        <v>0</v>
      </c>
      <c r="BR15">
        <f t="shared" si="36"/>
        <v>0</v>
      </c>
      <c r="BS15">
        <f t="shared" si="37"/>
        <v>0</v>
      </c>
      <c r="BT15" s="4">
        <f t="shared" si="38"/>
        <v>10</v>
      </c>
      <c r="BU15" s="8" t="str">
        <f>LOOKUP(D15,'Mower Equipment EFs'!B$2:B$6,'Mower Equipment EFs'!A$2:A$6)</f>
        <v>Push Mower</v>
      </c>
      <c r="BV15" s="8">
        <f>LOOKUP(D15,'Mower Equipment EFs'!B$2:B$6,'Mower Equipment EFs'!H$2:H$6)</f>
        <v>15.88</v>
      </c>
      <c r="BW15">
        <f t="shared" si="39"/>
        <v>15.88</v>
      </c>
      <c r="BX15">
        <f t="shared" si="40"/>
        <v>4</v>
      </c>
      <c r="BY15" s="35">
        <f t="shared" si="41"/>
        <v>9.5427244131661215</v>
      </c>
      <c r="BZ15">
        <f t="shared" si="42"/>
        <v>0.14995709792118192</v>
      </c>
      <c r="CA15">
        <v>0.23599999999999999</v>
      </c>
      <c r="CB15">
        <v>270</v>
      </c>
      <c r="CC15" s="5">
        <f t="shared" si="43"/>
        <v>40.488416438719121</v>
      </c>
      <c r="CD15" s="5">
        <f t="shared" si="44"/>
        <v>63.72</v>
      </c>
      <c r="CE15" s="32">
        <v>3.7810000000000001</v>
      </c>
      <c r="CF15" s="5">
        <f t="shared" si="45"/>
        <v>36.08104100618111</v>
      </c>
      <c r="CG15" s="26">
        <f t="shared" si="46"/>
        <v>92.449457444900233</v>
      </c>
      <c r="CH15" s="5">
        <f t="shared" si="47"/>
        <v>79.599999999999994</v>
      </c>
      <c r="CJ15" s="27"/>
      <c r="CK15" s="15"/>
      <c r="CL15" s="27"/>
    </row>
    <row r="16" spans="1:90">
      <c r="A16" t="s">
        <v>86</v>
      </c>
      <c r="B16" t="s">
        <v>702</v>
      </c>
      <c r="C16" t="s">
        <v>7</v>
      </c>
      <c r="D16" t="s">
        <v>9</v>
      </c>
      <c r="E16" t="s">
        <v>439</v>
      </c>
      <c r="F16" t="s">
        <v>226</v>
      </c>
      <c r="G16" t="s">
        <v>87</v>
      </c>
      <c r="H16">
        <v>42.993296372463803</v>
      </c>
      <c r="I16">
        <v>-71.444761375295101</v>
      </c>
      <c r="J16" t="s">
        <v>45</v>
      </c>
      <c r="K16" s="9" t="s">
        <v>448</v>
      </c>
      <c r="L16" s="9" t="s">
        <v>446</v>
      </c>
      <c r="M16" s="9" t="s">
        <v>439</v>
      </c>
      <c r="N16">
        <v>0</v>
      </c>
      <c r="O16">
        <v>30</v>
      </c>
      <c r="P16">
        <v>8</v>
      </c>
      <c r="Q16">
        <v>149</v>
      </c>
      <c r="R16" t="s">
        <v>708</v>
      </c>
      <c r="S16" t="s">
        <v>709</v>
      </c>
      <c r="T16" s="33">
        <v>-6.1</v>
      </c>
      <c r="U16" s="33">
        <v>-4.5</v>
      </c>
      <c r="V16" s="33">
        <v>0.6</v>
      </c>
      <c r="W16" s="33">
        <v>7</v>
      </c>
      <c r="X16" s="33">
        <v>13.1</v>
      </c>
      <c r="Y16" s="33">
        <v>18.2</v>
      </c>
      <c r="Z16" s="34">
        <v>20.9</v>
      </c>
      <c r="AA16" s="33">
        <v>19.899999999999999</v>
      </c>
      <c r="AB16" s="33">
        <v>15.6</v>
      </c>
      <c r="AC16" s="33">
        <v>9.6</v>
      </c>
      <c r="AD16" s="33">
        <v>3.9</v>
      </c>
      <c r="AE16" s="33">
        <v>-3</v>
      </c>
      <c r="AF16" s="24">
        <f t="shared" si="0"/>
        <v>5.5</v>
      </c>
      <c r="AG16" s="24">
        <f t="shared" si="1"/>
        <v>20</v>
      </c>
      <c r="AH16" s="25">
        <f t="shared" si="2"/>
        <v>1.2882130731733417E-5</v>
      </c>
      <c r="AI16" s="25">
        <f t="shared" si="3"/>
        <v>4.9108049124716263E-5</v>
      </c>
      <c r="AJ16" s="25">
        <f t="shared" si="4"/>
        <v>1.987601892106893E-3</v>
      </c>
      <c r="AK16" s="25">
        <f t="shared" si="5"/>
        <v>6.1213444650931564E-2</v>
      </c>
      <c r="AL16" s="25">
        <f t="shared" si="6"/>
        <v>0.45523470914411307</v>
      </c>
      <c r="AM16" s="25">
        <f t="shared" si="7"/>
        <v>0.94785502180440107</v>
      </c>
      <c r="AN16" s="25">
        <f t="shared" si="8"/>
        <v>0.98670079662929111</v>
      </c>
      <c r="AO16" s="25">
        <f t="shared" si="9"/>
        <v>0.99983472440331811</v>
      </c>
      <c r="AP16" s="25">
        <f t="shared" si="10"/>
        <v>0.72614903707369083</v>
      </c>
      <c r="AQ16" s="25">
        <f t="shared" si="11"/>
        <v>0.16733314138825411</v>
      </c>
      <c r="AR16" s="25">
        <f t="shared" si="12"/>
        <v>1.3781022561882666E-2</v>
      </c>
      <c r="AS16" s="25">
        <f t="shared" si="13"/>
        <v>1.5944657371392767E-4</v>
      </c>
      <c r="AT16">
        <v>1</v>
      </c>
      <c r="AU16">
        <v>7</v>
      </c>
      <c r="AV16" s="31">
        <f t="shared" si="14"/>
        <v>0</v>
      </c>
      <c r="AW16" s="31">
        <f t="shared" si="15"/>
        <v>0</v>
      </c>
      <c r="AX16" s="31">
        <f t="shared" si="16"/>
        <v>0</v>
      </c>
      <c r="AY16" s="31">
        <f t="shared" si="17"/>
        <v>0</v>
      </c>
      <c r="AZ16" s="31">
        <f t="shared" si="18"/>
        <v>14</v>
      </c>
      <c r="BA16" s="31">
        <f t="shared" si="19"/>
        <v>7</v>
      </c>
      <c r="BB16" s="31">
        <f t="shared" si="20"/>
        <v>7</v>
      </c>
      <c r="BC16" s="31">
        <f t="shared" si="21"/>
        <v>7</v>
      </c>
      <c r="BD16" s="31">
        <f t="shared" si="22"/>
        <v>10</v>
      </c>
      <c r="BE16" s="31">
        <f t="shared" si="23"/>
        <v>0</v>
      </c>
      <c r="BF16" s="31">
        <f t="shared" si="24"/>
        <v>0</v>
      </c>
      <c r="BG16" s="31">
        <f t="shared" si="25"/>
        <v>0</v>
      </c>
      <c r="BH16">
        <f t="shared" si="26"/>
        <v>0</v>
      </c>
      <c r="BI16">
        <f t="shared" si="27"/>
        <v>0</v>
      </c>
      <c r="BJ16">
        <f t="shared" si="28"/>
        <v>0</v>
      </c>
      <c r="BK16">
        <f t="shared" si="29"/>
        <v>0</v>
      </c>
      <c r="BL16">
        <f t="shared" si="30"/>
        <v>2</v>
      </c>
      <c r="BM16">
        <f t="shared" si="31"/>
        <v>4</v>
      </c>
      <c r="BN16">
        <f t="shared" si="32"/>
        <v>4</v>
      </c>
      <c r="BO16">
        <f t="shared" si="33"/>
        <v>4</v>
      </c>
      <c r="BP16">
        <f t="shared" si="34"/>
        <v>3</v>
      </c>
      <c r="BQ16">
        <f t="shared" si="35"/>
        <v>0</v>
      </c>
      <c r="BR16">
        <f t="shared" si="36"/>
        <v>0</v>
      </c>
      <c r="BS16">
        <f t="shared" si="37"/>
        <v>0</v>
      </c>
      <c r="BT16" s="4">
        <f t="shared" si="38"/>
        <v>17</v>
      </c>
      <c r="BU16" s="8" t="str">
        <f>LOOKUP(D16,'Mower Equipment EFs'!B$2:B$6,'Mower Equipment EFs'!A$2:A$6)</f>
        <v>Push Mower</v>
      </c>
      <c r="BV16" s="8">
        <f>LOOKUP(D16,'Mower Equipment EFs'!B$2:B$6,'Mower Equipment EFs'!H$2:H$6)</f>
        <v>15.88</v>
      </c>
      <c r="BW16">
        <f t="shared" si="39"/>
        <v>26.996000000000002</v>
      </c>
      <c r="BX16">
        <f t="shared" si="40"/>
        <v>3.5</v>
      </c>
      <c r="BY16" s="35">
        <f t="shared" si="41"/>
        <v>15.26108827705546</v>
      </c>
      <c r="BZ16">
        <f t="shared" si="42"/>
        <v>0.23981710149658578</v>
      </c>
      <c r="CA16">
        <v>0.23599999999999999</v>
      </c>
      <c r="CB16">
        <v>270</v>
      </c>
      <c r="CC16" s="5">
        <f t="shared" si="43"/>
        <v>64.750617404078156</v>
      </c>
      <c r="CD16" s="5">
        <f t="shared" si="44"/>
        <v>63.72</v>
      </c>
      <c r="CE16" s="32">
        <v>3.7810000000000001</v>
      </c>
      <c r="CF16" s="5">
        <f t="shared" si="45"/>
        <v>57.702174775546695</v>
      </c>
      <c r="CG16" s="26">
        <f t="shared" si="46"/>
        <v>149.44879217962486</v>
      </c>
      <c r="CH16" s="5">
        <f t="shared" si="47"/>
        <v>90.716000000000008</v>
      </c>
      <c r="CJ16"/>
      <c r="CL16"/>
    </row>
    <row r="17" spans="1:90">
      <c r="A17" t="s">
        <v>228</v>
      </c>
      <c r="B17" t="s">
        <v>229</v>
      </c>
      <c r="C17" t="s">
        <v>7</v>
      </c>
      <c r="D17" t="s">
        <v>8</v>
      </c>
      <c r="E17" t="s">
        <v>230</v>
      </c>
      <c r="F17" t="s">
        <v>227</v>
      </c>
      <c r="G17" t="s">
        <v>55</v>
      </c>
      <c r="H17">
        <v>33.586230800000003</v>
      </c>
      <c r="I17">
        <v>-101.90239</v>
      </c>
      <c r="J17" t="s">
        <v>44</v>
      </c>
      <c r="K17" t="s">
        <v>27</v>
      </c>
      <c r="L17" t="s">
        <v>443</v>
      </c>
      <c r="M17" t="s">
        <v>517</v>
      </c>
      <c r="N17">
        <v>0</v>
      </c>
      <c r="O17">
        <v>15</v>
      </c>
      <c r="P17">
        <v>13</v>
      </c>
      <c r="Q17">
        <v>93</v>
      </c>
      <c r="R17" t="s">
        <v>497</v>
      </c>
      <c r="S17" t="s">
        <v>547</v>
      </c>
      <c r="T17" s="22">
        <v>4.4000000000000004</v>
      </c>
      <c r="U17" s="22">
        <v>6.9</v>
      </c>
      <c r="V17" s="22">
        <v>10.4</v>
      </c>
      <c r="W17" s="22">
        <v>15.6</v>
      </c>
      <c r="X17" s="22">
        <v>20.2</v>
      </c>
      <c r="Y17" s="22">
        <v>24.8</v>
      </c>
      <c r="Z17" s="22">
        <v>26.2</v>
      </c>
      <c r="AA17" s="22">
        <v>25.7</v>
      </c>
      <c r="AB17" s="22">
        <v>21.9</v>
      </c>
      <c r="AC17" s="22">
        <v>16.399999999999999</v>
      </c>
      <c r="AD17" s="22">
        <v>9.5</v>
      </c>
      <c r="AE17" s="22">
        <v>5.3</v>
      </c>
      <c r="AF17" s="24">
        <f t="shared" si="0"/>
        <v>7</v>
      </c>
      <c r="AG17" s="24">
        <f t="shared" si="1"/>
        <v>31</v>
      </c>
      <c r="AH17" s="25">
        <f t="shared" si="2"/>
        <v>7.3180241888047212E-4</v>
      </c>
      <c r="AI17" s="25">
        <f t="shared" si="3"/>
        <v>2.667449109192603E-3</v>
      </c>
      <c r="AJ17" s="25">
        <f t="shared" si="4"/>
        <v>1.3164860509680932E-2</v>
      </c>
      <c r="AK17" s="25">
        <f t="shared" si="5"/>
        <v>8.8921617459386301E-2</v>
      </c>
      <c r="AL17" s="25">
        <f t="shared" si="6"/>
        <v>0.30415918442931789</v>
      </c>
      <c r="AM17" s="25">
        <f t="shared" si="7"/>
        <v>0.67553865566313176</v>
      </c>
      <c r="AN17" s="25">
        <f t="shared" si="8"/>
        <v>0.79049018324957698</v>
      </c>
      <c r="AO17" s="25">
        <f t="shared" si="9"/>
        <v>0.75078747766781484</v>
      </c>
      <c r="AP17" s="25">
        <f t="shared" si="10"/>
        <v>0.42955735821073904</v>
      </c>
      <c r="AQ17" s="25">
        <f t="shared" si="11"/>
        <v>0.11359656159346439</v>
      </c>
      <c r="AR17" s="25">
        <f t="shared" si="12"/>
        <v>8.9434242742491565E-3</v>
      </c>
      <c r="AS17" s="25">
        <f t="shared" si="13"/>
        <v>1.1830092468785866E-3</v>
      </c>
      <c r="AT17">
        <v>2</v>
      </c>
      <c r="AU17">
        <v>3.5</v>
      </c>
      <c r="AV17" s="31">
        <f t="shared" si="14"/>
        <v>0</v>
      </c>
      <c r="AW17" s="31">
        <f t="shared" si="15"/>
        <v>0</v>
      </c>
      <c r="AX17" s="31">
        <f t="shared" si="16"/>
        <v>0</v>
      </c>
      <c r="AY17" s="31">
        <f t="shared" si="17"/>
        <v>0</v>
      </c>
      <c r="AZ17" s="31">
        <f t="shared" si="18"/>
        <v>7</v>
      </c>
      <c r="BA17" s="31">
        <f t="shared" si="19"/>
        <v>5</v>
      </c>
      <c r="BB17" s="31">
        <f t="shared" si="20"/>
        <v>3.5</v>
      </c>
      <c r="BC17" s="31">
        <f t="shared" si="21"/>
        <v>3.5</v>
      </c>
      <c r="BD17" s="31">
        <f t="shared" si="22"/>
        <v>7</v>
      </c>
      <c r="BE17" s="31">
        <f t="shared" si="23"/>
        <v>0</v>
      </c>
      <c r="BF17" s="31">
        <f t="shared" si="24"/>
        <v>0</v>
      </c>
      <c r="BG17" s="31">
        <f t="shared" si="25"/>
        <v>0</v>
      </c>
      <c r="BH17">
        <f t="shared" si="26"/>
        <v>0</v>
      </c>
      <c r="BI17">
        <f t="shared" si="27"/>
        <v>0</v>
      </c>
      <c r="BJ17">
        <f t="shared" si="28"/>
        <v>0</v>
      </c>
      <c r="BK17">
        <f t="shared" si="29"/>
        <v>0</v>
      </c>
      <c r="BL17">
        <f t="shared" si="30"/>
        <v>4</v>
      </c>
      <c r="BM17">
        <f t="shared" si="31"/>
        <v>6</v>
      </c>
      <c r="BN17">
        <f t="shared" si="32"/>
        <v>9</v>
      </c>
      <c r="BO17">
        <f t="shared" si="33"/>
        <v>9</v>
      </c>
      <c r="BP17">
        <f t="shared" si="34"/>
        <v>4</v>
      </c>
      <c r="BQ17">
        <f t="shared" si="35"/>
        <v>0</v>
      </c>
      <c r="BR17">
        <f t="shared" si="36"/>
        <v>0</v>
      </c>
      <c r="BS17">
        <f t="shared" si="37"/>
        <v>0</v>
      </c>
      <c r="BT17" s="4">
        <f t="shared" si="38"/>
        <v>32</v>
      </c>
      <c r="BU17" s="8" t="str">
        <f>LOOKUP(D17,'Mower Equipment EFs'!B$2:B$6,'Mower Equipment EFs'!A$2:A$6)</f>
        <v>John Deere 7500A fairway mower</v>
      </c>
      <c r="BV17" s="8">
        <f>LOOKUP(D17,'Mower Equipment EFs'!B$2:B$6,'Mower Equipment EFs'!H$2:H$6)</f>
        <v>2.2621799999999999</v>
      </c>
      <c r="BW17">
        <f t="shared" si="39"/>
        <v>7.2389759999999992</v>
      </c>
      <c r="BX17">
        <f t="shared" si="40"/>
        <v>4</v>
      </c>
      <c r="BY17" s="35">
        <f t="shared" si="41"/>
        <v>12.718966335329251</v>
      </c>
      <c r="BZ17">
        <f t="shared" si="42"/>
        <v>0.19986947098374538</v>
      </c>
      <c r="CA17">
        <v>0.23599999999999999</v>
      </c>
      <c r="CB17">
        <v>270</v>
      </c>
      <c r="CC17" s="5">
        <f t="shared" si="43"/>
        <v>53.964757165611253</v>
      </c>
      <c r="CD17" s="5">
        <f t="shared" si="44"/>
        <v>63.72</v>
      </c>
      <c r="CE17" s="32">
        <v>3.7810000000000001</v>
      </c>
      <c r="CF17" s="5">
        <f t="shared" si="45"/>
        <v>48.090411713879895</v>
      </c>
      <c r="CG17" s="26">
        <f t="shared" si="46"/>
        <v>109.29414487949114</v>
      </c>
      <c r="CH17" s="5">
        <f t="shared" si="47"/>
        <v>70.958975999999993</v>
      </c>
      <c r="CJ17" s="27"/>
      <c r="CK17" s="15"/>
      <c r="CL17" s="27"/>
    </row>
    <row r="18" spans="1:90">
      <c r="A18" t="s">
        <v>521</v>
      </c>
      <c r="B18" t="s">
        <v>293</v>
      </c>
      <c r="C18" t="s">
        <v>7</v>
      </c>
      <c r="D18" t="s">
        <v>9</v>
      </c>
      <c r="E18" t="s">
        <v>212</v>
      </c>
      <c r="F18" t="s">
        <v>226</v>
      </c>
      <c r="G18" t="s">
        <v>12</v>
      </c>
      <c r="H18">
        <v>40</v>
      </c>
      <c r="I18">
        <v>-105</v>
      </c>
      <c r="J18" t="s">
        <v>44</v>
      </c>
      <c r="K18" t="s">
        <v>27</v>
      </c>
      <c r="L18" t="s">
        <v>443</v>
      </c>
      <c r="M18" t="s">
        <v>516</v>
      </c>
      <c r="N18">
        <v>0</v>
      </c>
      <c r="O18">
        <v>100</v>
      </c>
      <c r="P18">
        <v>0</v>
      </c>
      <c r="Q18">
        <v>45</v>
      </c>
      <c r="R18" t="s">
        <v>298</v>
      </c>
      <c r="S18" t="s">
        <v>596</v>
      </c>
      <c r="T18" s="22">
        <v>-0.6</v>
      </c>
      <c r="U18" s="22">
        <v>0.4</v>
      </c>
      <c r="V18" s="22">
        <v>4.4000000000000004</v>
      </c>
      <c r="W18" s="22">
        <v>8.6</v>
      </c>
      <c r="X18" s="22">
        <v>14</v>
      </c>
      <c r="Y18" s="22">
        <v>19.399999999999999</v>
      </c>
      <c r="Z18" s="22">
        <v>23.1</v>
      </c>
      <c r="AA18" s="22">
        <v>21.9</v>
      </c>
      <c r="AB18" s="22">
        <v>16.899999999999999</v>
      </c>
      <c r="AC18" s="22">
        <v>10.199999999999999</v>
      </c>
      <c r="AD18" s="22">
        <v>3.7</v>
      </c>
      <c r="AE18" s="22">
        <v>-1.1000000000000001</v>
      </c>
      <c r="AF18" s="24">
        <f t="shared" si="0"/>
        <v>5.5</v>
      </c>
      <c r="AG18" s="24">
        <f t="shared" si="1"/>
        <v>20</v>
      </c>
      <c r="AH18" s="25">
        <f t="shared" si="2"/>
        <v>8.9901137013807776E-4</v>
      </c>
      <c r="AI18" s="25">
        <f t="shared" si="3"/>
        <v>1.7471802677552638E-3</v>
      </c>
      <c r="AJ18" s="25">
        <f t="shared" si="4"/>
        <v>1.7908508590131888E-2</v>
      </c>
      <c r="AK18" s="25">
        <f t="shared" si="5"/>
        <v>0.11670578451141717</v>
      </c>
      <c r="AL18" s="25">
        <f t="shared" si="6"/>
        <v>0.5515397744971644</v>
      </c>
      <c r="AM18" s="25">
        <f t="shared" si="7"/>
        <v>0.99406725542300312</v>
      </c>
      <c r="AN18" s="25">
        <f t="shared" si="8"/>
        <v>0.85313031106278425</v>
      </c>
      <c r="AO18" s="25">
        <f t="shared" si="9"/>
        <v>0.94207591216748776</v>
      </c>
      <c r="AP18" s="25">
        <f t="shared" si="10"/>
        <v>0.85313031106278425</v>
      </c>
      <c r="AQ18" s="25">
        <f t="shared" si="11"/>
        <v>0.20444873561203109</v>
      </c>
      <c r="AR18" s="25">
        <f t="shared" si="12"/>
        <v>1.2381272281113609E-2</v>
      </c>
      <c r="AS18" s="25">
        <f t="shared" si="13"/>
        <v>6.3693498293545679E-4</v>
      </c>
      <c r="AT18">
        <v>1</v>
      </c>
      <c r="AU18">
        <v>7</v>
      </c>
      <c r="AV18" s="31">
        <f t="shared" si="14"/>
        <v>0</v>
      </c>
      <c r="AW18" s="31">
        <f t="shared" si="15"/>
        <v>0</v>
      </c>
      <c r="AX18" s="31">
        <f t="shared" si="16"/>
        <v>0</v>
      </c>
      <c r="AY18" s="31">
        <f t="shared" si="17"/>
        <v>0</v>
      </c>
      <c r="AZ18" s="31">
        <f t="shared" si="18"/>
        <v>10</v>
      </c>
      <c r="BA18" s="31">
        <f t="shared" si="19"/>
        <v>7</v>
      </c>
      <c r="BB18" s="31">
        <f t="shared" si="20"/>
        <v>7</v>
      </c>
      <c r="BC18" s="31">
        <f t="shared" si="21"/>
        <v>7</v>
      </c>
      <c r="BD18" s="31">
        <f t="shared" si="22"/>
        <v>7</v>
      </c>
      <c r="BE18" s="31">
        <f t="shared" si="23"/>
        <v>14</v>
      </c>
      <c r="BF18" s="31">
        <f t="shared" si="24"/>
        <v>0</v>
      </c>
      <c r="BG18" s="31">
        <f t="shared" si="25"/>
        <v>0</v>
      </c>
      <c r="BH18">
        <f t="shared" si="26"/>
        <v>0</v>
      </c>
      <c r="BI18">
        <f t="shared" si="27"/>
        <v>0</v>
      </c>
      <c r="BJ18">
        <f t="shared" si="28"/>
        <v>0</v>
      </c>
      <c r="BK18">
        <f t="shared" si="29"/>
        <v>0</v>
      </c>
      <c r="BL18">
        <f t="shared" si="30"/>
        <v>3</v>
      </c>
      <c r="BM18">
        <f t="shared" si="31"/>
        <v>4</v>
      </c>
      <c r="BN18">
        <f t="shared" si="32"/>
        <v>4</v>
      </c>
      <c r="BO18">
        <f t="shared" si="33"/>
        <v>4</v>
      </c>
      <c r="BP18">
        <f t="shared" si="34"/>
        <v>4</v>
      </c>
      <c r="BQ18">
        <f t="shared" si="35"/>
        <v>2</v>
      </c>
      <c r="BR18">
        <f t="shared" si="36"/>
        <v>0</v>
      </c>
      <c r="BS18">
        <f t="shared" si="37"/>
        <v>0</v>
      </c>
      <c r="BT18" s="4">
        <f t="shared" si="38"/>
        <v>21</v>
      </c>
      <c r="BU18" s="8" t="str">
        <f>LOOKUP(D18,'Mower Equipment EFs'!B$2:B$6,'Mower Equipment EFs'!A$2:A$6)</f>
        <v>Push Mower</v>
      </c>
      <c r="BV18" s="8">
        <f>LOOKUP(D18,'Mower Equipment EFs'!B$2:B$6,'Mower Equipment EFs'!H$2:H$6)</f>
        <v>15.88</v>
      </c>
      <c r="BW18">
        <f t="shared" si="39"/>
        <v>33.347999999999999</v>
      </c>
      <c r="BX18">
        <f t="shared" si="40"/>
        <v>3.5</v>
      </c>
      <c r="BY18" s="35">
        <f t="shared" si="41"/>
        <v>15.920348471400613</v>
      </c>
      <c r="BZ18">
        <f t="shared" si="42"/>
        <v>0.25017690455058106</v>
      </c>
      <c r="CA18">
        <v>0.23599999999999999</v>
      </c>
      <c r="CB18">
        <v>270</v>
      </c>
      <c r="CC18" s="5">
        <f t="shared" si="43"/>
        <v>67.547764228656888</v>
      </c>
      <c r="CD18" s="5">
        <f t="shared" si="44"/>
        <v>63.72</v>
      </c>
      <c r="CE18" s="32">
        <v>3.7810000000000001</v>
      </c>
      <c r="CF18" s="5">
        <f t="shared" si="45"/>
        <v>60.194837570365721</v>
      </c>
      <c r="CG18" s="26">
        <f t="shared" si="46"/>
        <v>161.09060179902261</v>
      </c>
      <c r="CH18" s="5">
        <f t="shared" si="47"/>
        <v>97.067999999999998</v>
      </c>
      <c r="CJ18" s="27"/>
      <c r="CK18" s="15"/>
      <c r="CL18" s="27"/>
    </row>
    <row r="19" spans="1:90">
      <c r="A19" t="s">
        <v>58</v>
      </c>
      <c r="B19" t="s">
        <v>202</v>
      </c>
      <c r="C19" t="s">
        <v>7</v>
      </c>
      <c r="D19" t="s">
        <v>92</v>
      </c>
      <c r="E19" t="s">
        <v>219</v>
      </c>
      <c r="F19" t="s">
        <v>226</v>
      </c>
      <c r="G19" t="s">
        <v>59</v>
      </c>
      <c r="H19">
        <v>-40.370499000000002</v>
      </c>
      <c r="I19">
        <v>175.634308</v>
      </c>
      <c r="J19" t="s">
        <v>42</v>
      </c>
      <c r="K19" t="s">
        <v>80</v>
      </c>
      <c r="L19" t="s">
        <v>445</v>
      </c>
      <c r="M19" t="s">
        <v>519</v>
      </c>
      <c r="N19">
        <v>0</v>
      </c>
      <c r="O19">
        <v>25</v>
      </c>
      <c r="P19">
        <v>5</v>
      </c>
      <c r="Q19">
        <v>40</v>
      </c>
      <c r="R19" t="s">
        <v>122</v>
      </c>
      <c r="S19" t="s">
        <v>268</v>
      </c>
      <c r="T19" s="22">
        <v>17.8</v>
      </c>
      <c r="U19" s="22">
        <v>18.2</v>
      </c>
      <c r="V19" s="22">
        <v>16.399999999999999</v>
      </c>
      <c r="W19" s="22">
        <v>13.6</v>
      </c>
      <c r="X19" s="22">
        <v>11.3</v>
      </c>
      <c r="Y19" s="22">
        <v>9.1</v>
      </c>
      <c r="Z19" s="22">
        <v>8.5</v>
      </c>
      <c r="AA19" s="22">
        <v>9.1999999999999993</v>
      </c>
      <c r="AB19" s="22">
        <v>10.9</v>
      </c>
      <c r="AC19" s="22">
        <v>12.4</v>
      </c>
      <c r="AD19" s="22">
        <v>14.1</v>
      </c>
      <c r="AE19" s="22">
        <v>16.399999999999999</v>
      </c>
      <c r="AF19" s="24">
        <f t="shared" si="0"/>
        <v>5.5</v>
      </c>
      <c r="AG19" s="24">
        <f t="shared" si="1"/>
        <v>20</v>
      </c>
      <c r="AH19" s="25">
        <f t="shared" si="2"/>
        <v>0.92311634638663587</v>
      </c>
      <c r="AI19" s="25">
        <f t="shared" si="3"/>
        <v>0.94785502180440107</v>
      </c>
      <c r="AJ19" s="25">
        <f t="shared" si="4"/>
        <v>0.80717492384140466</v>
      </c>
      <c r="AK19" s="25">
        <f t="shared" si="5"/>
        <v>0.50812652706610517</v>
      </c>
      <c r="AL19" s="25">
        <f t="shared" si="6"/>
        <v>0.28619714708518451</v>
      </c>
      <c r="AM19" s="25">
        <f t="shared" si="7"/>
        <v>0.14032394269177687</v>
      </c>
      <c r="AN19" s="25">
        <f t="shared" si="8"/>
        <v>0.11237088411256733</v>
      </c>
      <c r="AO19" s="25">
        <f t="shared" si="9"/>
        <v>0.14544840147596241</v>
      </c>
      <c r="AP19" s="25">
        <f t="shared" si="10"/>
        <v>0.25442216351433483</v>
      </c>
      <c r="AQ19" s="25">
        <f t="shared" si="11"/>
        <v>0.38492346995099425</v>
      </c>
      <c r="AR19" s="25">
        <f t="shared" si="12"/>
        <v>0.56249563731029584</v>
      </c>
      <c r="AS19" s="25">
        <f t="shared" si="13"/>
        <v>0.80717492384140466</v>
      </c>
      <c r="AT19">
        <v>3</v>
      </c>
      <c r="AU19" s="30">
        <f>7/AT19</f>
        <v>2.3333333333333335</v>
      </c>
      <c r="AV19" s="31">
        <f t="shared" si="14"/>
        <v>2.33</v>
      </c>
      <c r="AW19" s="31">
        <f t="shared" si="15"/>
        <v>2.33</v>
      </c>
      <c r="AX19" s="31">
        <f t="shared" si="16"/>
        <v>2.33</v>
      </c>
      <c r="AY19" s="31">
        <f t="shared" si="17"/>
        <v>3.33</v>
      </c>
      <c r="AZ19" s="31">
        <f t="shared" si="18"/>
        <v>4.67</v>
      </c>
      <c r="BA19" s="31">
        <f t="shared" si="19"/>
        <v>0</v>
      </c>
      <c r="BB19" s="31">
        <f t="shared" si="20"/>
        <v>0</v>
      </c>
      <c r="BC19" s="31">
        <f t="shared" si="21"/>
        <v>0</v>
      </c>
      <c r="BD19" s="31">
        <f t="shared" si="22"/>
        <v>4.67</v>
      </c>
      <c r="BE19" s="31">
        <f t="shared" si="23"/>
        <v>4.67</v>
      </c>
      <c r="BF19" s="31">
        <f t="shared" si="24"/>
        <v>3.33</v>
      </c>
      <c r="BG19" s="31">
        <f t="shared" si="25"/>
        <v>2.33</v>
      </c>
      <c r="BH19">
        <f t="shared" si="26"/>
        <v>13</v>
      </c>
      <c r="BI19">
        <f t="shared" si="27"/>
        <v>12</v>
      </c>
      <c r="BJ19">
        <f t="shared" si="28"/>
        <v>13</v>
      </c>
      <c r="BK19">
        <f t="shared" si="29"/>
        <v>9</v>
      </c>
      <c r="BL19">
        <f t="shared" si="30"/>
        <v>7</v>
      </c>
      <c r="BM19">
        <f t="shared" si="31"/>
        <v>0</v>
      </c>
      <c r="BN19">
        <f t="shared" si="32"/>
        <v>0</v>
      </c>
      <c r="BO19">
        <f t="shared" si="33"/>
        <v>0</v>
      </c>
      <c r="BP19">
        <f t="shared" si="34"/>
        <v>6</v>
      </c>
      <c r="BQ19">
        <f t="shared" si="35"/>
        <v>7</v>
      </c>
      <c r="BR19">
        <f t="shared" si="36"/>
        <v>9</v>
      </c>
      <c r="BS19">
        <f t="shared" si="37"/>
        <v>13</v>
      </c>
      <c r="BT19" s="4">
        <f t="shared" si="38"/>
        <v>89</v>
      </c>
      <c r="BU19" s="8" t="str">
        <f>LOOKUP(D19,'Mower Equipment EFs'!B$2:B$6,'Mower Equipment EFs'!A$2:A$6)</f>
        <v>Jacobsen Eclipse 322 hybrid gasoline reel mower</v>
      </c>
      <c r="BV19" s="8">
        <f>LOOKUP(D19,'Mower Equipment EFs'!B$2:B$6,'Mower Equipment EFs'!H$2:H$6)</f>
        <v>3.1995</v>
      </c>
      <c r="BW19">
        <f t="shared" si="39"/>
        <v>28.475550000000002</v>
      </c>
      <c r="BX19">
        <f t="shared" si="40"/>
        <v>3.5</v>
      </c>
      <c r="BY19" s="35">
        <f t="shared" si="41"/>
        <v>20.578702861783736</v>
      </c>
      <c r="BZ19">
        <f t="shared" si="42"/>
        <v>0.32337961639945872</v>
      </c>
      <c r="CA19">
        <v>0.23599999999999999</v>
      </c>
      <c r="CB19">
        <v>270</v>
      </c>
      <c r="CC19" s="5">
        <f t="shared" si="43"/>
        <v>87.312496427853858</v>
      </c>
      <c r="CD19" s="5">
        <f t="shared" si="44"/>
        <v>63.72</v>
      </c>
      <c r="CE19" s="32">
        <v>3.7810000000000001</v>
      </c>
      <c r="CF19" s="5">
        <f t="shared" si="45"/>
        <v>77.808075520404302</v>
      </c>
      <c r="CG19" s="26">
        <f t="shared" si="46"/>
        <v>193.59612194825814</v>
      </c>
      <c r="CH19" s="5">
        <f t="shared" si="47"/>
        <v>92.195549999999997</v>
      </c>
      <c r="CJ19" s="27"/>
      <c r="CK19" s="15"/>
      <c r="CL19" s="27"/>
    </row>
    <row r="20" spans="1:90">
      <c r="A20" t="s">
        <v>130</v>
      </c>
      <c r="B20" t="s">
        <v>287</v>
      </c>
      <c r="C20" t="s">
        <v>7</v>
      </c>
      <c r="D20" t="s">
        <v>9</v>
      </c>
      <c r="E20" t="s">
        <v>211</v>
      </c>
      <c r="F20" t="s">
        <v>227</v>
      </c>
      <c r="G20" t="s">
        <v>68</v>
      </c>
      <c r="H20">
        <v>32.6</v>
      </c>
      <c r="I20">
        <v>-85.5</v>
      </c>
      <c r="J20" t="s">
        <v>47</v>
      </c>
      <c r="K20" t="s">
        <v>11</v>
      </c>
      <c r="L20" t="s">
        <v>11</v>
      </c>
      <c r="M20" t="s">
        <v>513</v>
      </c>
      <c r="N20">
        <v>0</v>
      </c>
      <c r="O20">
        <v>50</v>
      </c>
      <c r="P20">
        <v>3</v>
      </c>
      <c r="Q20">
        <v>87</v>
      </c>
      <c r="R20" t="s">
        <v>292</v>
      </c>
      <c r="S20" t="s">
        <v>549</v>
      </c>
      <c r="T20" s="22">
        <v>7.2</v>
      </c>
      <c r="U20" s="22">
        <v>9.9</v>
      </c>
      <c r="V20" s="22">
        <v>13.2</v>
      </c>
      <c r="W20" s="22">
        <v>16.899999999999999</v>
      </c>
      <c r="X20" s="22">
        <v>21.5</v>
      </c>
      <c r="Y20" s="22">
        <v>25.3</v>
      </c>
      <c r="Z20" s="22">
        <v>26.9</v>
      </c>
      <c r="AA20" s="22">
        <v>26.4</v>
      </c>
      <c r="AB20" s="22">
        <v>23.6</v>
      </c>
      <c r="AC20" s="22">
        <v>17.899999999999999</v>
      </c>
      <c r="AD20" s="22">
        <v>12.9</v>
      </c>
      <c r="AE20" s="22">
        <v>8.1999999999999993</v>
      </c>
      <c r="AF20" s="24">
        <f t="shared" si="0"/>
        <v>7</v>
      </c>
      <c r="AG20" s="24">
        <f t="shared" si="1"/>
        <v>31</v>
      </c>
      <c r="AH20" s="25">
        <f t="shared" si="2"/>
        <v>3.0887154082367718E-3</v>
      </c>
      <c r="AI20" s="25">
        <f t="shared" si="3"/>
        <v>1.0641868669319597E-2</v>
      </c>
      <c r="AJ20" s="25">
        <f t="shared" si="4"/>
        <v>3.943658956391307E-2</v>
      </c>
      <c r="AK20" s="25">
        <f t="shared" si="5"/>
        <v>0.13150985734335655</v>
      </c>
      <c r="AL20" s="25">
        <f t="shared" si="6"/>
        <v>0.39815322221381255</v>
      </c>
      <c r="AM20" s="25">
        <f t="shared" si="7"/>
        <v>0.71782418167074913</v>
      </c>
      <c r="AN20" s="25">
        <f t="shared" si="8"/>
        <v>0.84237448065142395</v>
      </c>
      <c r="AO20" s="25">
        <f t="shared" si="9"/>
        <v>0.80580107886857533</v>
      </c>
      <c r="AP20" s="25">
        <f t="shared" si="10"/>
        <v>0.57190893192204395</v>
      </c>
      <c r="AQ20" s="25">
        <f t="shared" si="11"/>
        <v>0.17357900049216901</v>
      </c>
      <c r="AR20" s="25">
        <f t="shared" si="12"/>
        <v>3.5332248258547895E-2</v>
      </c>
      <c r="AS20" s="25">
        <f t="shared" si="13"/>
        <v>4.969232904692312E-3</v>
      </c>
      <c r="AT20">
        <v>1</v>
      </c>
      <c r="AU20">
        <v>7</v>
      </c>
      <c r="AV20" s="31">
        <f t="shared" si="14"/>
        <v>0</v>
      </c>
      <c r="AW20" s="31">
        <f t="shared" si="15"/>
        <v>0</v>
      </c>
      <c r="AX20" s="31">
        <f t="shared" si="16"/>
        <v>0</v>
      </c>
      <c r="AY20" s="31">
        <f t="shared" si="17"/>
        <v>0</v>
      </c>
      <c r="AZ20" s="31">
        <f t="shared" si="18"/>
        <v>14</v>
      </c>
      <c r="BA20" s="31">
        <f t="shared" si="19"/>
        <v>10</v>
      </c>
      <c r="BB20" s="31">
        <f t="shared" si="20"/>
        <v>7</v>
      </c>
      <c r="BC20" s="31">
        <f t="shared" si="21"/>
        <v>7</v>
      </c>
      <c r="BD20" s="31">
        <f t="shared" si="22"/>
        <v>10</v>
      </c>
      <c r="BE20" s="31">
        <f t="shared" si="23"/>
        <v>0</v>
      </c>
      <c r="BF20" s="31">
        <f t="shared" si="24"/>
        <v>0</v>
      </c>
      <c r="BG20" s="31">
        <f t="shared" si="25"/>
        <v>0</v>
      </c>
      <c r="BH20">
        <f t="shared" si="26"/>
        <v>0</v>
      </c>
      <c r="BI20">
        <f t="shared" si="27"/>
        <v>0</v>
      </c>
      <c r="BJ20">
        <f t="shared" si="28"/>
        <v>0</v>
      </c>
      <c r="BK20">
        <f t="shared" si="29"/>
        <v>0</v>
      </c>
      <c r="BL20">
        <f t="shared" si="30"/>
        <v>2</v>
      </c>
      <c r="BM20">
        <f t="shared" si="31"/>
        <v>3</v>
      </c>
      <c r="BN20">
        <f t="shared" si="32"/>
        <v>4</v>
      </c>
      <c r="BO20">
        <f t="shared" si="33"/>
        <v>4</v>
      </c>
      <c r="BP20">
        <f t="shared" si="34"/>
        <v>3</v>
      </c>
      <c r="BQ20">
        <f t="shared" si="35"/>
        <v>0</v>
      </c>
      <c r="BR20">
        <f t="shared" si="36"/>
        <v>0</v>
      </c>
      <c r="BS20">
        <f t="shared" si="37"/>
        <v>0</v>
      </c>
      <c r="BT20" s="4">
        <f t="shared" si="38"/>
        <v>16</v>
      </c>
      <c r="BU20" s="8" t="str">
        <f>LOOKUP(D20,'Mower Equipment EFs'!B$2:B$6,'Mower Equipment EFs'!A$2:A$6)</f>
        <v>Push Mower</v>
      </c>
      <c r="BV20" s="8">
        <f>LOOKUP(D20,'Mower Equipment EFs'!B$2:B$6,'Mower Equipment EFs'!H$2:H$6)</f>
        <v>15.88</v>
      </c>
      <c r="BW20">
        <f t="shared" si="39"/>
        <v>25.408000000000001</v>
      </c>
      <c r="BX20">
        <f t="shared" si="40"/>
        <v>4</v>
      </c>
      <c r="BY20" s="35">
        <f t="shared" si="41"/>
        <v>14.938477631867363</v>
      </c>
      <c r="BZ20">
        <f t="shared" si="42"/>
        <v>0.23474750564363001</v>
      </c>
      <c r="CA20">
        <v>0.23599999999999999</v>
      </c>
      <c r="CB20">
        <v>270</v>
      </c>
      <c r="CC20" s="5">
        <f t="shared" si="43"/>
        <v>63.381826523780099</v>
      </c>
      <c r="CD20" s="5">
        <f t="shared" si="44"/>
        <v>63.72</v>
      </c>
      <c r="CE20" s="32">
        <v>3.7810000000000001</v>
      </c>
      <c r="CF20" s="5">
        <f t="shared" si="45"/>
        <v>56.482383926090499</v>
      </c>
      <c r="CG20" s="26">
        <f t="shared" si="46"/>
        <v>145.27221044987061</v>
      </c>
      <c r="CH20" s="5">
        <f t="shared" si="47"/>
        <v>89.128</v>
      </c>
      <c r="CJ20" s="27"/>
      <c r="CK20" s="15"/>
      <c r="CL20" s="27"/>
    </row>
    <row r="21" spans="1:90">
      <c r="A21" t="s">
        <v>130</v>
      </c>
      <c r="B21" t="s">
        <v>286</v>
      </c>
      <c r="C21" t="s">
        <v>7</v>
      </c>
      <c r="D21" t="s">
        <v>9</v>
      </c>
      <c r="E21" t="s">
        <v>211</v>
      </c>
      <c r="F21" t="s">
        <v>227</v>
      </c>
      <c r="G21" t="s">
        <v>68</v>
      </c>
      <c r="H21">
        <v>32.6</v>
      </c>
      <c r="I21">
        <v>-85.5</v>
      </c>
      <c r="J21" t="s">
        <v>47</v>
      </c>
      <c r="K21" t="s">
        <v>11</v>
      </c>
      <c r="L21" t="s">
        <v>11</v>
      </c>
      <c r="M21" t="s">
        <v>513</v>
      </c>
      <c r="N21">
        <v>0</v>
      </c>
      <c r="O21">
        <v>50</v>
      </c>
      <c r="P21">
        <v>1</v>
      </c>
      <c r="Q21">
        <v>51</v>
      </c>
      <c r="R21" t="s">
        <v>291</v>
      </c>
      <c r="S21" t="s">
        <v>550</v>
      </c>
      <c r="T21" s="22">
        <v>7.2</v>
      </c>
      <c r="U21" s="22">
        <v>9.9</v>
      </c>
      <c r="V21" s="22">
        <v>13.2</v>
      </c>
      <c r="W21" s="22">
        <v>16.899999999999999</v>
      </c>
      <c r="X21" s="22">
        <v>21.5</v>
      </c>
      <c r="Y21" s="22">
        <v>25.3</v>
      </c>
      <c r="Z21" s="22">
        <v>26.9</v>
      </c>
      <c r="AA21" s="22">
        <v>26.4</v>
      </c>
      <c r="AB21" s="22">
        <v>23.6</v>
      </c>
      <c r="AC21" s="22">
        <v>17.899999999999999</v>
      </c>
      <c r="AD21" s="22">
        <v>12.9</v>
      </c>
      <c r="AE21" s="22">
        <v>8.1999999999999993</v>
      </c>
      <c r="AF21" s="24">
        <f t="shared" si="0"/>
        <v>7</v>
      </c>
      <c r="AG21" s="24">
        <f t="shared" si="1"/>
        <v>31</v>
      </c>
      <c r="AH21" s="25">
        <f t="shared" si="2"/>
        <v>3.0887154082367718E-3</v>
      </c>
      <c r="AI21" s="25">
        <f t="shared" si="3"/>
        <v>1.0641868669319597E-2</v>
      </c>
      <c r="AJ21" s="25">
        <f t="shared" si="4"/>
        <v>3.943658956391307E-2</v>
      </c>
      <c r="AK21" s="25">
        <f t="shared" si="5"/>
        <v>0.13150985734335655</v>
      </c>
      <c r="AL21" s="25">
        <f t="shared" si="6"/>
        <v>0.39815322221381255</v>
      </c>
      <c r="AM21" s="25">
        <f t="shared" si="7"/>
        <v>0.71782418167074913</v>
      </c>
      <c r="AN21" s="25">
        <f t="shared" si="8"/>
        <v>0.84237448065142395</v>
      </c>
      <c r="AO21" s="25">
        <f t="shared" si="9"/>
        <v>0.80580107886857533</v>
      </c>
      <c r="AP21" s="25">
        <f t="shared" si="10"/>
        <v>0.57190893192204395</v>
      </c>
      <c r="AQ21" s="25">
        <f t="shared" si="11"/>
        <v>0.17357900049216901</v>
      </c>
      <c r="AR21" s="25">
        <f t="shared" si="12"/>
        <v>3.5332248258547895E-2</v>
      </c>
      <c r="AS21" s="25">
        <f t="shared" si="13"/>
        <v>4.969232904692312E-3</v>
      </c>
      <c r="AT21">
        <v>1</v>
      </c>
      <c r="AU21">
        <v>7</v>
      </c>
      <c r="AV21" s="31">
        <f t="shared" si="14"/>
        <v>0</v>
      </c>
      <c r="AW21" s="31">
        <f t="shared" si="15"/>
        <v>0</v>
      </c>
      <c r="AX21" s="31">
        <f t="shared" si="16"/>
        <v>0</v>
      </c>
      <c r="AY21" s="31">
        <f t="shared" si="17"/>
        <v>0</v>
      </c>
      <c r="AZ21" s="31">
        <f t="shared" si="18"/>
        <v>14</v>
      </c>
      <c r="BA21" s="31">
        <f t="shared" si="19"/>
        <v>10</v>
      </c>
      <c r="BB21" s="31">
        <f t="shared" si="20"/>
        <v>7</v>
      </c>
      <c r="BC21" s="31">
        <f t="shared" si="21"/>
        <v>7</v>
      </c>
      <c r="BD21" s="31">
        <f t="shared" si="22"/>
        <v>10</v>
      </c>
      <c r="BE21" s="31">
        <f t="shared" si="23"/>
        <v>0</v>
      </c>
      <c r="BF21" s="31">
        <f t="shared" si="24"/>
        <v>0</v>
      </c>
      <c r="BG21" s="31">
        <f t="shared" si="25"/>
        <v>0</v>
      </c>
      <c r="BH21">
        <f t="shared" si="26"/>
        <v>0</v>
      </c>
      <c r="BI21">
        <f t="shared" si="27"/>
        <v>0</v>
      </c>
      <c r="BJ21">
        <f t="shared" si="28"/>
        <v>0</v>
      </c>
      <c r="BK21">
        <f t="shared" si="29"/>
        <v>0</v>
      </c>
      <c r="BL21">
        <f t="shared" si="30"/>
        <v>2</v>
      </c>
      <c r="BM21">
        <f t="shared" si="31"/>
        <v>3</v>
      </c>
      <c r="BN21">
        <f t="shared" si="32"/>
        <v>4</v>
      </c>
      <c r="BO21">
        <f t="shared" si="33"/>
        <v>4</v>
      </c>
      <c r="BP21">
        <f t="shared" si="34"/>
        <v>3</v>
      </c>
      <c r="BQ21">
        <f t="shared" si="35"/>
        <v>0</v>
      </c>
      <c r="BR21">
        <f t="shared" si="36"/>
        <v>0</v>
      </c>
      <c r="BS21">
        <f t="shared" si="37"/>
        <v>0</v>
      </c>
      <c r="BT21" s="4">
        <f t="shared" si="38"/>
        <v>16</v>
      </c>
      <c r="BU21" s="8" t="str">
        <f>LOOKUP(D21,'Mower Equipment EFs'!B$2:B$6,'Mower Equipment EFs'!A$2:A$6)</f>
        <v>Push Mower</v>
      </c>
      <c r="BV21" s="8">
        <f>LOOKUP(D21,'Mower Equipment EFs'!B$2:B$6,'Mower Equipment EFs'!H$2:H$6)</f>
        <v>15.88</v>
      </c>
      <c r="BW21">
        <f t="shared" si="39"/>
        <v>25.408000000000001</v>
      </c>
      <c r="BX21">
        <f t="shared" si="40"/>
        <v>4</v>
      </c>
      <c r="BY21" s="35">
        <f t="shared" si="41"/>
        <v>14.938477631867363</v>
      </c>
      <c r="BZ21">
        <f t="shared" si="42"/>
        <v>0.23474750564363001</v>
      </c>
      <c r="CA21">
        <v>0.23599999999999999</v>
      </c>
      <c r="CB21">
        <v>270</v>
      </c>
      <c r="CC21" s="5">
        <f t="shared" si="43"/>
        <v>63.381826523780099</v>
      </c>
      <c r="CD21" s="5">
        <f t="shared" si="44"/>
        <v>63.72</v>
      </c>
      <c r="CE21" s="32">
        <v>3.7810000000000001</v>
      </c>
      <c r="CF21" s="5">
        <f t="shared" si="45"/>
        <v>56.482383926090499</v>
      </c>
      <c r="CG21" s="26">
        <f t="shared" si="46"/>
        <v>145.27221044987061</v>
      </c>
      <c r="CH21" s="5">
        <f t="shared" si="47"/>
        <v>89.128</v>
      </c>
      <c r="CJ21" s="27"/>
      <c r="CK21" s="15"/>
      <c r="CL21" s="27"/>
    </row>
    <row r="22" spans="1:90">
      <c r="A22" t="s">
        <v>69</v>
      </c>
      <c r="B22" t="s">
        <v>76</v>
      </c>
      <c r="C22" t="s">
        <v>53</v>
      </c>
      <c r="D22" t="s">
        <v>175</v>
      </c>
      <c r="E22" t="s">
        <v>231</v>
      </c>
      <c r="F22" t="s">
        <v>226</v>
      </c>
      <c r="G22" t="s">
        <v>72</v>
      </c>
      <c r="H22">
        <v>40.442710475055797</v>
      </c>
      <c r="I22">
        <v>-86.929954269312304</v>
      </c>
      <c r="J22" t="s">
        <v>46</v>
      </c>
      <c r="K22" t="s">
        <v>447</v>
      </c>
      <c r="L22" t="s">
        <v>512</v>
      </c>
      <c r="M22" t="s">
        <v>519</v>
      </c>
      <c r="N22">
        <v>0</v>
      </c>
      <c r="O22">
        <v>5.0999999999999996</v>
      </c>
      <c r="P22">
        <v>1</v>
      </c>
      <c r="Q22">
        <v>3</v>
      </c>
      <c r="R22" t="s">
        <v>155</v>
      </c>
      <c r="S22" t="s">
        <v>584</v>
      </c>
      <c r="T22" s="22">
        <v>-4.4000000000000004</v>
      </c>
      <c r="U22" s="22">
        <v>-1.9</v>
      </c>
      <c r="V22" s="22">
        <v>4.2</v>
      </c>
      <c r="W22" s="22">
        <v>10.7</v>
      </c>
      <c r="X22" s="22">
        <v>16.399999999999999</v>
      </c>
      <c r="Y22" s="22">
        <v>21.7</v>
      </c>
      <c r="Z22" s="22">
        <v>23.9</v>
      </c>
      <c r="AA22" s="22">
        <v>22.7</v>
      </c>
      <c r="AB22" s="22">
        <v>18.899999999999999</v>
      </c>
      <c r="AC22" s="22">
        <v>12.2</v>
      </c>
      <c r="AD22" s="22">
        <v>5.4</v>
      </c>
      <c r="AE22" s="22">
        <v>-0.7</v>
      </c>
      <c r="AF22" s="24">
        <f t="shared" si="0"/>
        <v>5.5</v>
      </c>
      <c r="AG22" s="24">
        <f t="shared" si="1"/>
        <v>20</v>
      </c>
      <c r="AH22" s="25">
        <f t="shared" si="2"/>
        <v>5.3242098091985106E-5</v>
      </c>
      <c r="AI22" s="25">
        <f t="shared" si="3"/>
        <v>3.6070936155825861E-4</v>
      </c>
      <c r="AJ22" s="25">
        <f t="shared" si="4"/>
        <v>1.614280254118115E-2</v>
      </c>
      <c r="AK22" s="25">
        <f t="shared" si="5"/>
        <v>0.23940783066236895</v>
      </c>
      <c r="AL22" s="25">
        <f t="shared" si="6"/>
        <v>0.80717492384140466</v>
      </c>
      <c r="AM22" s="25">
        <f t="shared" si="7"/>
        <v>0.95335437248341182</v>
      </c>
      <c r="AN22" s="25">
        <f t="shared" si="8"/>
        <v>0.77770736843409005</v>
      </c>
      <c r="AO22" s="25">
        <f t="shared" si="9"/>
        <v>0.88648075048140695</v>
      </c>
      <c r="AP22" s="25">
        <f t="shared" si="10"/>
        <v>0.98019867330675525</v>
      </c>
      <c r="AQ22" s="25">
        <f t="shared" si="11"/>
        <v>0.36581781793542811</v>
      </c>
      <c r="AR22" s="25">
        <f t="shared" si="12"/>
        <v>2.950174735186346E-2</v>
      </c>
      <c r="AS22" s="25">
        <f t="shared" si="13"/>
        <v>8.3968869261864993E-4</v>
      </c>
      <c r="AT22">
        <v>1</v>
      </c>
      <c r="AU22" s="30">
        <f t="shared" ref="AU22:AU66" si="48">7/AT22</f>
        <v>7</v>
      </c>
      <c r="AV22" s="31">
        <f t="shared" si="14"/>
        <v>0</v>
      </c>
      <c r="AW22" s="31">
        <f t="shared" si="15"/>
        <v>0</v>
      </c>
      <c r="AX22" s="31">
        <f t="shared" si="16"/>
        <v>0</v>
      </c>
      <c r="AY22" s="31">
        <f t="shared" si="17"/>
        <v>14</v>
      </c>
      <c r="AZ22" s="31">
        <f t="shared" si="18"/>
        <v>7</v>
      </c>
      <c r="BA22" s="31">
        <f t="shared" si="19"/>
        <v>7</v>
      </c>
      <c r="BB22" s="31">
        <f t="shared" si="20"/>
        <v>7</v>
      </c>
      <c r="BC22" s="31">
        <f t="shared" si="21"/>
        <v>7</v>
      </c>
      <c r="BD22" s="31">
        <f t="shared" si="22"/>
        <v>7</v>
      </c>
      <c r="BE22" s="31">
        <f t="shared" si="23"/>
        <v>14</v>
      </c>
      <c r="BF22" s="31">
        <f t="shared" si="24"/>
        <v>0</v>
      </c>
      <c r="BG22" s="31">
        <f t="shared" si="25"/>
        <v>0</v>
      </c>
      <c r="BH22">
        <f t="shared" si="26"/>
        <v>0</v>
      </c>
      <c r="BI22">
        <f t="shared" si="27"/>
        <v>0</v>
      </c>
      <c r="BJ22">
        <f t="shared" si="28"/>
        <v>0</v>
      </c>
      <c r="BK22">
        <f t="shared" si="29"/>
        <v>2</v>
      </c>
      <c r="BL22">
        <f t="shared" si="30"/>
        <v>4</v>
      </c>
      <c r="BM22">
        <f t="shared" si="31"/>
        <v>4</v>
      </c>
      <c r="BN22">
        <f t="shared" si="32"/>
        <v>4</v>
      </c>
      <c r="BO22">
        <f t="shared" si="33"/>
        <v>4</v>
      </c>
      <c r="BP22">
        <f t="shared" si="34"/>
        <v>4</v>
      </c>
      <c r="BQ22">
        <f t="shared" si="35"/>
        <v>2</v>
      </c>
      <c r="BR22">
        <f t="shared" si="36"/>
        <v>0</v>
      </c>
      <c r="BS22">
        <f t="shared" si="37"/>
        <v>0</v>
      </c>
      <c r="BT22" s="4">
        <f t="shared" si="38"/>
        <v>24</v>
      </c>
      <c r="BU22" s="8" t="str">
        <f>LOOKUP(D22,'Mower Equipment EFs'!B$2:B$6,'Mower Equipment EFs'!A$2:A$6)</f>
        <v>John Deere 7500A fairway mower</v>
      </c>
      <c r="BV22" s="8">
        <f>LOOKUP(D22,'Mower Equipment EFs'!B$2:B$6,'Mower Equipment EFs'!H$2:H$6)</f>
        <v>2.2621799999999999</v>
      </c>
      <c r="BW22">
        <f t="shared" si="39"/>
        <v>5.4292319999999989</v>
      </c>
      <c r="BX22">
        <f t="shared" si="40"/>
        <v>3.5</v>
      </c>
      <c r="BY22" s="35">
        <f t="shared" si="41"/>
        <v>17.69963974516563</v>
      </c>
      <c r="BZ22">
        <f t="shared" si="42"/>
        <v>0.27813719599545988</v>
      </c>
      <c r="CA22">
        <v>0.23599999999999999</v>
      </c>
      <c r="CB22">
        <v>270</v>
      </c>
      <c r="CC22" s="5">
        <f t="shared" si="43"/>
        <v>75.097042918774164</v>
      </c>
      <c r="CD22" s="5">
        <f t="shared" si="44"/>
        <v>63.72</v>
      </c>
      <c r="CE22" s="32">
        <v>3.7810000000000001</v>
      </c>
      <c r="CF22" s="5">
        <f t="shared" si="45"/>
        <v>66.922337876471246</v>
      </c>
      <c r="CG22" s="26">
        <f t="shared" si="46"/>
        <v>147.44861279524542</v>
      </c>
      <c r="CH22" s="5">
        <f t="shared" si="47"/>
        <v>69.149231999999998</v>
      </c>
      <c r="CJ22" s="27"/>
      <c r="CK22" s="15"/>
      <c r="CL22" s="27"/>
    </row>
    <row r="23" spans="1:90">
      <c r="A23" t="s">
        <v>69</v>
      </c>
      <c r="B23" t="s">
        <v>73</v>
      </c>
      <c r="C23" t="s">
        <v>53</v>
      </c>
      <c r="D23" t="s">
        <v>175</v>
      </c>
      <c r="E23" t="s">
        <v>231</v>
      </c>
      <c r="F23" t="s">
        <v>226</v>
      </c>
      <c r="G23" t="s">
        <v>72</v>
      </c>
      <c r="H23">
        <v>40.442710475055797</v>
      </c>
      <c r="I23">
        <v>-86.929954269312304</v>
      </c>
      <c r="J23" t="s">
        <v>46</v>
      </c>
      <c r="K23" t="s">
        <v>447</v>
      </c>
      <c r="L23" t="s">
        <v>512</v>
      </c>
      <c r="M23" t="s">
        <v>519</v>
      </c>
      <c r="N23">
        <v>0</v>
      </c>
      <c r="O23">
        <v>5.0999999999999996</v>
      </c>
      <c r="P23">
        <v>1</v>
      </c>
      <c r="Q23">
        <v>3</v>
      </c>
      <c r="R23" t="s">
        <v>156</v>
      </c>
      <c r="S23" t="s">
        <v>595</v>
      </c>
      <c r="T23" s="22">
        <v>-4.4000000000000004</v>
      </c>
      <c r="U23" s="22">
        <v>-1.9</v>
      </c>
      <c r="V23" s="22">
        <v>4.2</v>
      </c>
      <c r="W23" s="22">
        <v>10.7</v>
      </c>
      <c r="X23" s="22">
        <v>16.399999999999999</v>
      </c>
      <c r="Y23" s="22">
        <v>21.7</v>
      </c>
      <c r="Z23" s="22">
        <v>23.9</v>
      </c>
      <c r="AA23" s="22">
        <v>22.7</v>
      </c>
      <c r="AB23" s="22">
        <v>18.899999999999999</v>
      </c>
      <c r="AC23" s="22">
        <v>12.2</v>
      </c>
      <c r="AD23" s="22">
        <v>5.4</v>
      </c>
      <c r="AE23" s="22">
        <v>-0.7</v>
      </c>
      <c r="AF23" s="24">
        <f t="shared" si="0"/>
        <v>5.5</v>
      </c>
      <c r="AG23" s="24">
        <f t="shared" si="1"/>
        <v>20</v>
      </c>
      <c r="AH23" s="25">
        <f t="shared" si="2"/>
        <v>5.3242098091985106E-5</v>
      </c>
      <c r="AI23" s="25">
        <f t="shared" si="3"/>
        <v>3.6070936155825861E-4</v>
      </c>
      <c r="AJ23" s="25">
        <f t="shared" si="4"/>
        <v>1.614280254118115E-2</v>
      </c>
      <c r="AK23" s="25">
        <f t="shared" si="5"/>
        <v>0.23940783066236895</v>
      </c>
      <c r="AL23" s="25">
        <f t="shared" si="6"/>
        <v>0.80717492384140466</v>
      </c>
      <c r="AM23" s="25">
        <f t="shared" si="7"/>
        <v>0.95335437248341182</v>
      </c>
      <c r="AN23" s="25">
        <f t="shared" si="8"/>
        <v>0.77770736843409005</v>
      </c>
      <c r="AO23" s="25">
        <f t="shared" si="9"/>
        <v>0.88648075048140695</v>
      </c>
      <c r="AP23" s="25">
        <f t="shared" si="10"/>
        <v>0.98019867330675525</v>
      </c>
      <c r="AQ23" s="25">
        <f t="shared" si="11"/>
        <v>0.36581781793542811</v>
      </c>
      <c r="AR23" s="25">
        <f t="shared" si="12"/>
        <v>2.950174735186346E-2</v>
      </c>
      <c r="AS23" s="25">
        <f t="shared" si="13"/>
        <v>8.3968869261864993E-4</v>
      </c>
      <c r="AT23">
        <v>1</v>
      </c>
      <c r="AU23" s="30">
        <f t="shared" si="48"/>
        <v>7</v>
      </c>
      <c r="AV23" s="31">
        <f t="shared" si="14"/>
        <v>0</v>
      </c>
      <c r="AW23" s="31">
        <f t="shared" si="15"/>
        <v>0</v>
      </c>
      <c r="AX23" s="31">
        <f t="shared" si="16"/>
        <v>0</v>
      </c>
      <c r="AY23" s="31">
        <f t="shared" si="17"/>
        <v>14</v>
      </c>
      <c r="AZ23" s="31">
        <f t="shared" si="18"/>
        <v>7</v>
      </c>
      <c r="BA23" s="31">
        <f t="shared" si="19"/>
        <v>7</v>
      </c>
      <c r="BB23" s="31">
        <f t="shared" si="20"/>
        <v>7</v>
      </c>
      <c r="BC23" s="31">
        <f t="shared" si="21"/>
        <v>7</v>
      </c>
      <c r="BD23" s="31">
        <f t="shared" si="22"/>
        <v>7</v>
      </c>
      <c r="BE23" s="31">
        <f t="shared" si="23"/>
        <v>14</v>
      </c>
      <c r="BF23" s="31">
        <f t="shared" si="24"/>
        <v>0</v>
      </c>
      <c r="BG23" s="31">
        <f t="shared" si="25"/>
        <v>0</v>
      </c>
      <c r="BH23">
        <f t="shared" si="26"/>
        <v>0</v>
      </c>
      <c r="BI23">
        <f t="shared" si="27"/>
        <v>0</v>
      </c>
      <c r="BJ23">
        <f t="shared" si="28"/>
        <v>0</v>
      </c>
      <c r="BK23">
        <f t="shared" si="29"/>
        <v>2</v>
      </c>
      <c r="BL23">
        <f t="shared" si="30"/>
        <v>4</v>
      </c>
      <c r="BM23">
        <f t="shared" si="31"/>
        <v>4</v>
      </c>
      <c r="BN23">
        <f t="shared" si="32"/>
        <v>4</v>
      </c>
      <c r="BO23">
        <f t="shared" si="33"/>
        <v>4</v>
      </c>
      <c r="BP23">
        <f t="shared" si="34"/>
        <v>4</v>
      </c>
      <c r="BQ23">
        <f t="shared" si="35"/>
        <v>2</v>
      </c>
      <c r="BR23">
        <f t="shared" si="36"/>
        <v>0</v>
      </c>
      <c r="BS23">
        <f t="shared" si="37"/>
        <v>0</v>
      </c>
      <c r="BT23" s="4">
        <f t="shared" si="38"/>
        <v>24</v>
      </c>
      <c r="BU23" s="8" t="str">
        <f>LOOKUP(D23,'Mower Equipment EFs'!B$2:B$6,'Mower Equipment EFs'!A$2:A$6)</f>
        <v>John Deere 7500A fairway mower</v>
      </c>
      <c r="BV23" s="8">
        <f>LOOKUP(D23,'Mower Equipment EFs'!B$2:B$6,'Mower Equipment EFs'!H$2:H$6)</f>
        <v>2.2621799999999999</v>
      </c>
      <c r="BW23">
        <f t="shared" si="39"/>
        <v>5.4292319999999989</v>
      </c>
      <c r="BX23">
        <f t="shared" si="40"/>
        <v>3.5</v>
      </c>
      <c r="BY23" s="35">
        <f t="shared" si="41"/>
        <v>17.69963974516563</v>
      </c>
      <c r="BZ23">
        <f t="shared" si="42"/>
        <v>0.27813719599545988</v>
      </c>
      <c r="CA23">
        <v>0.23599999999999999</v>
      </c>
      <c r="CB23">
        <v>270</v>
      </c>
      <c r="CC23" s="5">
        <f t="shared" si="43"/>
        <v>75.097042918774164</v>
      </c>
      <c r="CD23" s="5">
        <f t="shared" si="44"/>
        <v>63.72</v>
      </c>
      <c r="CE23" s="32">
        <v>3.7810000000000001</v>
      </c>
      <c r="CF23" s="5">
        <f t="shared" si="45"/>
        <v>66.922337876471246</v>
      </c>
      <c r="CG23" s="26">
        <f t="shared" si="46"/>
        <v>147.44861279524542</v>
      </c>
      <c r="CH23" s="5">
        <f t="shared" si="47"/>
        <v>69.149231999999998</v>
      </c>
      <c r="CJ23" s="27"/>
      <c r="CK23" s="15"/>
      <c r="CL23" s="27"/>
    </row>
    <row r="24" spans="1:90">
      <c r="A24" t="s">
        <v>69</v>
      </c>
      <c r="B24" t="s">
        <v>70</v>
      </c>
      <c r="C24" t="s">
        <v>53</v>
      </c>
      <c r="D24" t="s">
        <v>175</v>
      </c>
      <c r="E24" t="s">
        <v>212</v>
      </c>
      <c r="F24" t="s">
        <v>226</v>
      </c>
      <c r="G24" t="s">
        <v>72</v>
      </c>
      <c r="H24">
        <v>40.442710475055797</v>
      </c>
      <c r="I24">
        <v>-86.929954269312304</v>
      </c>
      <c r="J24" t="s">
        <v>46</v>
      </c>
      <c r="K24" t="s">
        <v>447</v>
      </c>
      <c r="L24" t="s">
        <v>512</v>
      </c>
      <c r="M24" t="s">
        <v>519</v>
      </c>
      <c r="N24">
        <v>0</v>
      </c>
      <c r="O24">
        <v>5.0999999999999996</v>
      </c>
      <c r="P24">
        <v>1</v>
      </c>
      <c r="Q24">
        <v>3</v>
      </c>
      <c r="R24" t="s">
        <v>157</v>
      </c>
      <c r="S24" t="s">
        <v>594</v>
      </c>
      <c r="T24" s="22">
        <v>-4.4000000000000004</v>
      </c>
      <c r="U24" s="22">
        <v>-1.9</v>
      </c>
      <c r="V24" s="22">
        <v>4.2</v>
      </c>
      <c r="W24" s="22">
        <v>10.7</v>
      </c>
      <c r="X24" s="22">
        <v>16.399999999999999</v>
      </c>
      <c r="Y24" s="22">
        <v>21.7</v>
      </c>
      <c r="Z24" s="22">
        <v>23.9</v>
      </c>
      <c r="AA24" s="22">
        <v>22.7</v>
      </c>
      <c r="AB24" s="22">
        <v>18.899999999999999</v>
      </c>
      <c r="AC24" s="22">
        <v>12.2</v>
      </c>
      <c r="AD24" s="22">
        <v>5.4</v>
      </c>
      <c r="AE24" s="22">
        <v>-0.7</v>
      </c>
      <c r="AF24" s="24">
        <f t="shared" si="0"/>
        <v>5.5</v>
      </c>
      <c r="AG24" s="24">
        <f t="shared" si="1"/>
        <v>20</v>
      </c>
      <c r="AH24" s="25">
        <f t="shared" si="2"/>
        <v>5.3242098091985106E-5</v>
      </c>
      <c r="AI24" s="25">
        <f t="shared" si="3"/>
        <v>3.6070936155825861E-4</v>
      </c>
      <c r="AJ24" s="25">
        <f t="shared" si="4"/>
        <v>1.614280254118115E-2</v>
      </c>
      <c r="AK24" s="25">
        <f t="shared" si="5"/>
        <v>0.23940783066236895</v>
      </c>
      <c r="AL24" s="25">
        <f t="shared" si="6"/>
        <v>0.80717492384140466</v>
      </c>
      <c r="AM24" s="25">
        <f t="shared" si="7"/>
        <v>0.95335437248341182</v>
      </c>
      <c r="AN24" s="25">
        <f t="shared" si="8"/>
        <v>0.77770736843409005</v>
      </c>
      <c r="AO24" s="25">
        <f t="shared" si="9"/>
        <v>0.88648075048140695</v>
      </c>
      <c r="AP24" s="25">
        <f t="shared" si="10"/>
        <v>0.98019867330675525</v>
      </c>
      <c r="AQ24" s="25">
        <f t="shared" si="11"/>
        <v>0.36581781793542811</v>
      </c>
      <c r="AR24" s="25">
        <f t="shared" si="12"/>
        <v>2.950174735186346E-2</v>
      </c>
      <c r="AS24" s="25">
        <f t="shared" si="13"/>
        <v>8.3968869261864993E-4</v>
      </c>
      <c r="AT24">
        <v>1</v>
      </c>
      <c r="AU24" s="30">
        <f t="shared" si="48"/>
        <v>7</v>
      </c>
      <c r="AV24" s="31">
        <f t="shared" si="14"/>
        <v>0</v>
      </c>
      <c r="AW24" s="31">
        <f t="shared" si="15"/>
        <v>0</v>
      </c>
      <c r="AX24" s="31">
        <f t="shared" si="16"/>
        <v>0</v>
      </c>
      <c r="AY24" s="31">
        <f t="shared" si="17"/>
        <v>14</v>
      </c>
      <c r="AZ24" s="31">
        <f t="shared" si="18"/>
        <v>7</v>
      </c>
      <c r="BA24" s="31">
        <f t="shared" si="19"/>
        <v>7</v>
      </c>
      <c r="BB24" s="31">
        <f t="shared" si="20"/>
        <v>7</v>
      </c>
      <c r="BC24" s="31">
        <f t="shared" si="21"/>
        <v>7</v>
      </c>
      <c r="BD24" s="31">
        <f t="shared" si="22"/>
        <v>7</v>
      </c>
      <c r="BE24" s="31">
        <f t="shared" si="23"/>
        <v>14</v>
      </c>
      <c r="BF24" s="31">
        <f t="shared" si="24"/>
        <v>0</v>
      </c>
      <c r="BG24" s="31">
        <f t="shared" si="25"/>
        <v>0</v>
      </c>
      <c r="BH24">
        <f t="shared" si="26"/>
        <v>0</v>
      </c>
      <c r="BI24">
        <f t="shared" si="27"/>
        <v>0</v>
      </c>
      <c r="BJ24">
        <f t="shared" si="28"/>
        <v>0</v>
      </c>
      <c r="BK24">
        <f t="shared" si="29"/>
        <v>2</v>
      </c>
      <c r="BL24">
        <f t="shared" si="30"/>
        <v>4</v>
      </c>
      <c r="BM24">
        <f t="shared" si="31"/>
        <v>4</v>
      </c>
      <c r="BN24">
        <f t="shared" si="32"/>
        <v>4</v>
      </c>
      <c r="BO24">
        <f t="shared" si="33"/>
        <v>4</v>
      </c>
      <c r="BP24">
        <f t="shared" si="34"/>
        <v>4</v>
      </c>
      <c r="BQ24">
        <f t="shared" si="35"/>
        <v>2</v>
      </c>
      <c r="BR24">
        <f t="shared" si="36"/>
        <v>0</v>
      </c>
      <c r="BS24">
        <f t="shared" si="37"/>
        <v>0</v>
      </c>
      <c r="BT24" s="4">
        <f t="shared" si="38"/>
        <v>24</v>
      </c>
      <c r="BU24" s="8" t="str">
        <f>LOOKUP(D24,'Mower Equipment EFs'!B$2:B$6,'Mower Equipment EFs'!A$2:A$6)</f>
        <v>John Deere 7500A fairway mower</v>
      </c>
      <c r="BV24" s="8">
        <f>LOOKUP(D24,'Mower Equipment EFs'!B$2:B$6,'Mower Equipment EFs'!H$2:H$6)</f>
        <v>2.2621799999999999</v>
      </c>
      <c r="BW24">
        <f t="shared" si="39"/>
        <v>5.4292319999999989</v>
      </c>
      <c r="BX24">
        <f t="shared" si="40"/>
        <v>3.5</v>
      </c>
      <c r="BY24" s="35">
        <f t="shared" si="41"/>
        <v>17.69963974516563</v>
      </c>
      <c r="BZ24">
        <f t="shared" si="42"/>
        <v>0.27813719599545988</v>
      </c>
      <c r="CA24">
        <v>0.23599999999999999</v>
      </c>
      <c r="CB24">
        <v>270</v>
      </c>
      <c r="CC24" s="5">
        <f t="shared" si="43"/>
        <v>75.097042918774164</v>
      </c>
      <c r="CD24" s="5">
        <f t="shared" si="44"/>
        <v>63.72</v>
      </c>
      <c r="CE24" s="32">
        <v>3.7810000000000001</v>
      </c>
      <c r="CF24" s="5">
        <f t="shared" si="45"/>
        <v>66.922337876471246</v>
      </c>
      <c r="CG24" s="26">
        <f t="shared" si="46"/>
        <v>147.44861279524542</v>
      </c>
      <c r="CH24" s="5">
        <f t="shared" si="47"/>
        <v>69.149231999999998</v>
      </c>
      <c r="CJ24" s="27"/>
      <c r="CK24" s="15"/>
      <c r="CL24" s="27"/>
    </row>
    <row r="25" spans="1:90">
      <c r="A25" t="s">
        <v>69</v>
      </c>
      <c r="B25" t="s">
        <v>71</v>
      </c>
      <c r="C25" t="s">
        <v>53</v>
      </c>
      <c r="D25" t="s">
        <v>175</v>
      </c>
      <c r="E25" t="s">
        <v>217</v>
      </c>
      <c r="F25" t="s">
        <v>226</v>
      </c>
      <c r="G25" t="s">
        <v>72</v>
      </c>
      <c r="H25">
        <v>40.442710475055797</v>
      </c>
      <c r="I25">
        <v>-86.929954269312304</v>
      </c>
      <c r="J25" t="s">
        <v>46</v>
      </c>
      <c r="K25" t="s">
        <v>447</v>
      </c>
      <c r="L25" t="s">
        <v>512</v>
      </c>
      <c r="M25" t="s">
        <v>519</v>
      </c>
      <c r="N25">
        <v>0</v>
      </c>
      <c r="O25">
        <v>5.0999999999999996</v>
      </c>
      <c r="P25">
        <v>1</v>
      </c>
      <c r="Q25">
        <v>3</v>
      </c>
      <c r="R25" t="s">
        <v>158</v>
      </c>
      <c r="S25" t="s">
        <v>593</v>
      </c>
      <c r="T25" s="22">
        <v>-4.4000000000000004</v>
      </c>
      <c r="U25" s="22">
        <v>-1.9</v>
      </c>
      <c r="V25" s="22">
        <v>4.2</v>
      </c>
      <c r="W25" s="22">
        <v>10.7</v>
      </c>
      <c r="X25" s="22">
        <v>16.399999999999999</v>
      </c>
      <c r="Y25" s="22">
        <v>21.7</v>
      </c>
      <c r="Z25" s="22">
        <v>23.9</v>
      </c>
      <c r="AA25" s="22">
        <v>22.7</v>
      </c>
      <c r="AB25" s="22">
        <v>18.899999999999999</v>
      </c>
      <c r="AC25" s="22">
        <v>12.2</v>
      </c>
      <c r="AD25" s="22">
        <v>5.4</v>
      </c>
      <c r="AE25" s="22">
        <v>-0.7</v>
      </c>
      <c r="AF25" s="24">
        <f t="shared" si="0"/>
        <v>5.5</v>
      </c>
      <c r="AG25" s="24">
        <f t="shared" si="1"/>
        <v>20</v>
      </c>
      <c r="AH25" s="25">
        <f t="shared" si="2"/>
        <v>5.3242098091985106E-5</v>
      </c>
      <c r="AI25" s="25">
        <f t="shared" si="3"/>
        <v>3.6070936155825861E-4</v>
      </c>
      <c r="AJ25" s="25">
        <f t="shared" si="4"/>
        <v>1.614280254118115E-2</v>
      </c>
      <c r="AK25" s="25">
        <f t="shared" si="5"/>
        <v>0.23940783066236895</v>
      </c>
      <c r="AL25" s="25">
        <f t="shared" si="6"/>
        <v>0.80717492384140466</v>
      </c>
      <c r="AM25" s="25">
        <f t="shared" si="7"/>
        <v>0.95335437248341182</v>
      </c>
      <c r="AN25" s="25">
        <f t="shared" si="8"/>
        <v>0.77770736843409005</v>
      </c>
      <c r="AO25" s="25">
        <f t="shared" si="9"/>
        <v>0.88648075048140695</v>
      </c>
      <c r="AP25" s="25">
        <f t="shared" si="10"/>
        <v>0.98019867330675525</v>
      </c>
      <c r="AQ25" s="25">
        <f t="shared" si="11"/>
        <v>0.36581781793542811</v>
      </c>
      <c r="AR25" s="25">
        <f t="shared" si="12"/>
        <v>2.950174735186346E-2</v>
      </c>
      <c r="AS25" s="25">
        <f t="shared" si="13"/>
        <v>8.3968869261864993E-4</v>
      </c>
      <c r="AT25">
        <v>1</v>
      </c>
      <c r="AU25" s="30">
        <f t="shared" si="48"/>
        <v>7</v>
      </c>
      <c r="AV25" s="31">
        <f t="shared" si="14"/>
        <v>0</v>
      </c>
      <c r="AW25" s="31">
        <f t="shared" si="15"/>
        <v>0</v>
      </c>
      <c r="AX25" s="31">
        <f t="shared" si="16"/>
        <v>0</v>
      </c>
      <c r="AY25" s="31">
        <f t="shared" si="17"/>
        <v>14</v>
      </c>
      <c r="AZ25" s="31">
        <f t="shared" si="18"/>
        <v>7</v>
      </c>
      <c r="BA25" s="31">
        <f t="shared" si="19"/>
        <v>7</v>
      </c>
      <c r="BB25" s="31">
        <f t="shared" si="20"/>
        <v>7</v>
      </c>
      <c r="BC25" s="31">
        <f t="shared" si="21"/>
        <v>7</v>
      </c>
      <c r="BD25" s="31">
        <f t="shared" si="22"/>
        <v>7</v>
      </c>
      <c r="BE25" s="31">
        <f t="shared" si="23"/>
        <v>14</v>
      </c>
      <c r="BF25" s="31">
        <f t="shared" si="24"/>
        <v>0</v>
      </c>
      <c r="BG25" s="31">
        <f t="shared" si="25"/>
        <v>0</v>
      </c>
      <c r="BH25">
        <f t="shared" si="26"/>
        <v>0</v>
      </c>
      <c r="BI25">
        <f t="shared" si="27"/>
        <v>0</v>
      </c>
      <c r="BJ25">
        <f t="shared" si="28"/>
        <v>0</v>
      </c>
      <c r="BK25">
        <f t="shared" si="29"/>
        <v>2</v>
      </c>
      <c r="BL25">
        <f t="shared" si="30"/>
        <v>4</v>
      </c>
      <c r="BM25">
        <f t="shared" si="31"/>
        <v>4</v>
      </c>
      <c r="BN25">
        <f t="shared" si="32"/>
        <v>4</v>
      </c>
      <c r="BO25">
        <f t="shared" si="33"/>
        <v>4</v>
      </c>
      <c r="BP25">
        <f t="shared" si="34"/>
        <v>4</v>
      </c>
      <c r="BQ25">
        <f t="shared" si="35"/>
        <v>2</v>
      </c>
      <c r="BR25">
        <f t="shared" si="36"/>
        <v>0</v>
      </c>
      <c r="BS25">
        <f t="shared" si="37"/>
        <v>0</v>
      </c>
      <c r="BT25" s="4">
        <f t="shared" si="38"/>
        <v>24</v>
      </c>
      <c r="BU25" s="8" t="str">
        <f>LOOKUP(D25,'Mower Equipment EFs'!B$2:B$6,'Mower Equipment EFs'!A$2:A$6)</f>
        <v>John Deere 7500A fairway mower</v>
      </c>
      <c r="BV25" s="8">
        <f>LOOKUP(D25,'Mower Equipment EFs'!B$2:B$6,'Mower Equipment EFs'!H$2:H$6)</f>
        <v>2.2621799999999999</v>
      </c>
      <c r="BW25">
        <f t="shared" si="39"/>
        <v>5.4292319999999989</v>
      </c>
      <c r="BX25">
        <f t="shared" si="40"/>
        <v>3.5</v>
      </c>
      <c r="BY25" s="35">
        <f t="shared" si="41"/>
        <v>17.69963974516563</v>
      </c>
      <c r="BZ25">
        <f t="shared" si="42"/>
        <v>0.27813719599545988</v>
      </c>
      <c r="CA25">
        <v>0.23599999999999999</v>
      </c>
      <c r="CB25">
        <v>270</v>
      </c>
      <c r="CC25" s="5">
        <f t="shared" si="43"/>
        <v>75.097042918774164</v>
      </c>
      <c r="CD25" s="5">
        <f t="shared" si="44"/>
        <v>63.72</v>
      </c>
      <c r="CE25" s="32">
        <v>3.7810000000000001</v>
      </c>
      <c r="CF25" s="5">
        <f t="shared" si="45"/>
        <v>66.922337876471246</v>
      </c>
      <c r="CG25" s="26">
        <f t="shared" si="46"/>
        <v>147.44861279524542</v>
      </c>
      <c r="CH25" s="5">
        <f t="shared" si="47"/>
        <v>69.149231999999998</v>
      </c>
      <c r="CJ25" s="27"/>
      <c r="CK25" s="15"/>
      <c r="CL25" s="27"/>
    </row>
    <row r="26" spans="1:90">
      <c r="A26" t="s">
        <v>4</v>
      </c>
      <c r="B26" t="s">
        <v>197</v>
      </c>
      <c r="C26" t="s">
        <v>7</v>
      </c>
      <c r="D26" t="s">
        <v>8</v>
      </c>
      <c r="E26" t="s">
        <v>212</v>
      </c>
      <c r="F26" t="s">
        <v>226</v>
      </c>
      <c r="G26" t="s">
        <v>12</v>
      </c>
      <c r="H26">
        <v>39.733106788293597</v>
      </c>
      <c r="I26">
        <v>-104.906620368929</v>
      </c>
      <c r="J26" t="s">
        <v>44</v>
      </c>
      <c r="K26" t="s">
        <v>27</v>
      </c>
      <c r="L26" t="s">
        <v>443</v>
      </c>
      <c r="M26" t="s">
        <v>516</v>
      </c>
      <c r="N26">
        <v>0</v>
      </c>
      <c r="O26">
        <v>11.4</v>
      </c>
      <c r="P26">
        <v>2</v>
      </c>
      <c r="Q26">
        <v>42</v>
      </c>
      <c r="R26" t="s">
        <v>128</v>
      </c>
      <c r="S26" t="s">
        <v>551</v>
      </c>
      <c r="T26" s="22">
        <v>-0.6</v>
      </c>
      <c r="U26" s="22">
        <v>0.4</v>
      </c>
      <c r="V26" s="22">
        <v>4.4000000000000004</v>
      </c>
      <c r="W26" s="22">
        <v>8.6</v>
      </c>
      <c r="X26" s="22">
        <v>14</v>
      </c>
      <c r="Y26" s="22">
        <v>19.399999999999999</v>
      </c>
      <c r="Z26" s="22">
        <v>23.1</v>
      </c>
      <c r="AA26" s="22">
        <v>21.9</v>
      </c>
      <c r="AB26" s="22">
        <v>16.899999999999999</v>
      </c>
      <c r="AC26" s="22">
        <v>10.199999999999999</v>
      </c>
      <c r="AD26" s="22">
        <v>3.7</v>
      </c>
      <c r="AE26" s="22">
        <v>-1.1000000000000001</v>
      </c>
      <c r="AF26" s="24">
        <f t="shared" si="0"/>
        <v>5.5</v>
      </c>
      <c r="AG26" s="24">
        <f t="shared" si="1"/>
        <v>20</v>
      </c>
      <c r="AH26" s="25">
        <f t="shared" si="2"/>
        <v>8.9901137013807776E-4</v>
      </c>
      <c r="AI26" s="25">
        <f t="shared" si="3"/>
        <v>1.7471802677552638E-3</v>
      </c>
      <c r="AJ26" s="25">
        <f t="shared" si="4"/>
        <v>1.7908508590131888E-2</v>
      </c>
      <c r="AK26" s="25">
        <f t="shared" si="5"/>
        <v>0.11670578451141717</v>
      </c>
      <c r="AL26" s="25">
        <f t="shared" si="6"/>
        <v>0.5515397744971644</v>
      </c>
      <c r="AM26" s="25">
        <f t="shared" si="7"/>
        <v>0.99406725542300312</v>
      </c>
      <c r="AN26" s="25">
        <f t="shared" si="8"/>
        <v>0.85313031106278425</v>
      </c>
      <c r="AO26" s="25">
        <f t="shared" si="9"/>
        <v>0.94207591216748776</v>
      </c>
      <c r="AP26" s="25">
        <f t="shared" si="10"/>
        <v>0.85313031106278425</v>
      </c>
      <c r="AQ26" s="25">
        <f t="shared" si="11"/>
        <v>0.20444873561203109</v>
      </c>
      <c r="AR26" s="25">
        <f t="shared" si="12"/>
        <v>1.2381272281113609E-2</v>
      </c>
      <c r="AS26" s="25">
        <f t="shared" si="13"/>
        <v>6.3693498293545679E-4</v>
      </c>
      <c r="AT26">
        <v>2</v>
      </c>
      <c r="AU26" s="30">
        <f t="shared" si="48"/>
        <v>3.5</v>
      </c>
      <c r="AV26" s="31">
        <f t="shared" si="14"/>
        <v>0</v>
      </c>
      <c r="AW26" s="31">
        <f t="shared" si="15"/>
        <v>0</v>
      </c>
      <c r="AX26" s="31">
        <f t="shared" si="16"/>
        <v>0</v>
      </c>
      <c r="AY26" s="31">
        <f t="shared" si="17"/>
        <v>0</v>
      </c>
      <c r="AZ26" s="31">
        <f t="shared" si="18"/>
        <v>5</v>
      </c>
      <c r="BA26" s="31">
        <f t="shared" si="19"/>
        <v>3.5</v>
      </c>
      <c r="BB26" s="31">
        <f t="shared" si="20"/>
        <v>3.5</v>
      </c>
      <c r="BC26" s="31">
        <f t="shared" si="21"/>
        <v>3.5</v>
      </c>
      <c r="BD26" s="31">
        <f t="shared" si="22"/>
        <v>3.5</v>
      </c>
      <c r="BE26" s="31">
        <f t="shared" si="23"/>
        <v>7</v>
      </c>
      <c r="BF26" s="31">
        <f t="shared" si="24"/>
        <v>0</v>
      </c>
      <c r="BG26" s="31">
        <f t="shared" si="25"/>
        <v>0</v>
      </c>
      <c r="BH26">
        <f t="shared" si="26"/>
        <v>0</v>
      </c>
      <c r="BI26">
        <f t="shared" si="27"/>
        <v>0</v>
      </c>
      <c r="BJ26">
        <f t="shared" si="28"/>
        <v>0</v>
      </c>
      <c r="BK26">
        <f t="shared" si="29"/>
        <v>0</v>
      </c>
      <c r="BL26">
        <f t="shared" si="30"/>
        <v>6</v>
      </c>
      <c r="BM26">
        <f t="shared" si="31"/>
        <v>9</v>
      </c>
      <c r="BN26">
        <f t="shared" si="32"/>
        <v>9</v>
      </c>
      <c r="BO26">
        <f t="shared" si="33"/>
        <v>9</v>
      </c>
      <c r="BP26">
        <f t="shared" si="34"/>
        <v>9</v>
      </c>
      <c r="BQ26">
        <f t="shared" si="35"/>
        <v>4</v>
      </c>
      <c r="BR26">
        <f t="shared" si="36"/>
        <v>0</v>
      </c>
      <c r="BS26">
        <f t="shared" si="37"/>
        <v>0</v>
      </c>
      <c r="BT26" s="4">
        <f t="shared" si="38"/>
        <v>46</v>
      </c>
      <c r="BU26" s="8" t="str">
        <f>LOOKUP(D26,'Mower Equipment EFs'!B$2:B$6,'Mower Equipment EFs'!A$2:A$6)</f>
        <v>John Deere 7500A fairway mower</v>
      </c>
      <c r="BV26" s="8">
        <f>LOOKUP(D26,'Mower Equipment EFs'!B$2:B$6,'Mower Equipment EFs'!H$2:H$6)</f>
        <v>2.2621799999999999</v>
      </c>
      <c r="BW26">
        <f t="shared" si="39"/>
        <v>10.406027999999999</v>
      </c>
      <c r="BX26">
        <f t="shared" si="40"/>
        <v>3.5</v>
      </c>
      <c r="BY26" s="35">
        <f t="shared" si="41"/>
        <v>15.920348471400613</v>
      </c>
      <c r="BZ26">
        <f t="shared" si="42"/>
        <v>0.25017690455058106</v>
      </c>
      <c r="CA26">
        <v>0.23599999999999999</v>
      </c>
      <c r="CB26">
        <v>270</v>
      </c>
      <c r="CC26" s="5">
        <f t="shared" si="43"/>
        <v>67.547764228656888</v>
      </c>
      <c r="CD26" s="5">
        <f t="shared" si="44"/>
        <v>63.72</v>
      </c>
      <c r="CE26" s="32">
        <v>3.7810000000000001</v>
      </c>
      <c r="CF26" s="5">
        <f t="shared" si="45"/>
        <v>60.194837570365721</v>
      </c>
      <c r="CG26" s="26">
        <f t="shared" si="46"/>
        <v>138.14862979902261</v>
      </c>
      <c r="CH26" s="5">
        <f t="shared" si="47"/>
        <v>74.126027999999991</v>
      </c>
      <c r="CJ26" s="27"/>
      <c r="CK26" s="15"/>
      <c r="CL26" s="27"/>
    </row>
    <row r="27" spans="1:90">
      <c r="A27" s="9" t="s">
        <v>4</v>
      </c>
      <c r="B27" s="9" t="s">
        <v>199</v>
      </c>
      <c r="C27" s="9" t="s">
        <v>7</v>
      </c>
      <c r="D27" s="9" t="s">
        <v>8</v>
      </c>
      <c r="E27" s="9" t="s">
        <v>212</v>
      </c>
      <c r="F27" s="9" t="s">
        <v>226</v>
      </c>
      <c r="G27" s="9" t="s">
        <v>91</v>
      </c>
      <c r="H27" s="9">
        <v>41.451436812951798</v>
      </c>
      <c r="I27" s="9">
        <v>-106.779868824662</v>
      </c>
      <c r="J27" s="9" t="s">
        <v>45</v>
      </c>
      <c r="K27" s="9" t="s">
        <v>448</v>
      </c>
      <c r="L27" s="9" t="s">
        <v>446</v>
      </c>
      <c r="M27" s="9" t="s">
        <v>516</v>
      </c>
      <c r="N27" s="9">
        <v>0</v>
      </c>
      <c r="O27" s="9">
        <v>15.2</v>
      </c>
      <c r="P27" s="9">
        <v>18</v>
      </c>
      <c r="Q27" s="9">
        <v>34</v>
      </c>
      <c r="R27" s="9" t="s">
        <v>129</v>
      </c>
      <c r="S27" s="9" t="s">
        <v>586</v>
      </c>
      <c r="T27" s="22">
        <v>0</v>
      </c>
      <c r="U27" s="22">
        <v>-5</v>
      </c>
      <c r="V27" s="22">
        <v>-1</v>
      </c>
      <c r="W27" s="22">
        <v>4</v>
      </c>
      <c r="X27" s="22">
        <v>9</v>
      </c>
      <c r="Y27" s="22">
        <v>14</v>
      </c>
      <c r="Z27" s="22">
        <v>18</v>
      </c>
      <c r="AA27" s="22">
        <v>17</v>
      </c>
      <c r="AB27" s="22">
        <v>11</v>
      </c>
      <c r="AC27" s="22">
        <v>6</v>
      </c>
      <c r="AD27" s="22">
        <v>0</v>
      </c>
      <c r="AE27" s="22">
        <v>-5</v>
      </c>
      <c r="AF27" s="24">
        <f t="shared" si="0"/>
        <v>5.5</v>
      </c>
      <c r="AG27" s="24">
        <f t="shared" si="1"/>
        <v>20</v>
      </c>
      <c r="AH27" s="25">
        <f t="shared" si="2"/>
        <v>1.3447189485709052E-3</v>
      </c>
      <c r="AI27" s="25">
        <f t="shared" si="3"/>
        <v>3.2620210346661228E-5</v>
      </c>
      <c r="AJ27" s="25">
        <f t="shared" si="4"/>
        <v>6.8283575828252891E-4</v>
      </c>
      <c r="AK27" s="25">
        <f t="shared" si="5"/>
        <v>1.4531959396856664E-2</v>
      </c>
      <c r="AL27" s="25">
        <f t="shared" si="6"/>
        <v>0.1353352832366127</v>
      </c>
      <c r="AM27" s="25">
        <f t="shared" si="7"/>
        <v>0.5515397744971644</v>
      </c>
      <c r="AN27" s="25">
        <f t="shared" si="8"/>
        <v>0.93602255789541478</v>
      </c>
      <c r="AO27" s="25">
        <f t="shared" si="9"/>
        <v>0.86177563141715641</v>
      </c>
      <c r="AP27" s="25">
        <f t="shared" si="10"/>
        <v>0.26214880584576306</v>
      </c>
      <c r="AQ27" s="25">
        <f t="shared" si="11"/>
        <v>3.9176843981361772E-2</v>
      </c>
      <c r="AR27" s="25">
        <f t="shared" si="12"/>
        <v>1.3447189485709052E-3</v>
      </c>
      <c r="AS27" s="25">
        <f t="shared" si="13"/>
        <v>3.2620210346661228E-5</v>
      </c>
      <c r="AT27">
        <v>2</v>
      </c>
      <c r="AU27" s="30">
        <f t="shared" si="48"/>
        <v>3.5</v>
      </c>
      <c r="AV27" s="31">
        <f t="shared" si="14"/>
        <v>0</v>
      </c>
      <c r="AW27" s="31">
        <f t="shared" si="15"/>
        <v>0</v>
      </c>
      <c r="AX27" s="31">
        <f t="shared" si="16"/>
        <v>0</v>
      </c>
      <c r="AY27" s="31">
        <f t="shared" si="17"/>
        <v>0</v>
      </c>
      <c r="AZ27" s="31">
        <f t="shared" si="18"/>
        <v>0</v>
      </c>
      <c r="BA27" s="31">
        <f t="shared" si="19"/>
        <v>5</v>
      </c>
      <c r="BB27" s="31">
        <f t="shared" si="20"/>
        <v>3.5</v>
      </c>
      <c r="BC27" s="31">
        <f t="shared" si="21"/>
        <v>3.5</v>
      </c>
      <c r="BD27" s="31">
        <f t="shared" si="22"/>
        <v>7</v>
      </c>
      <c r="BE27" s="31">
        <f t="shared" si="23"/>
        <v>0</v>
      </c>
      <c r="BF27" s="31">
        <f t="shared" si="24"/>
        <v>0</v>
      </c>
      <c r="BG27" s="31">
        <f t="shared" si="25"/>
        <v>0</v>
      </c>
      <c r="BH27">
        <f t="shared" si="26"/>
        <v>0</v>
      </c>
      <c r="BI27">
        <f t="shared" si="27"/>
        <v>0</v>
      </c>
      <c r="BJ27">
        <f t="shared" si="28"/>
        <v>0</v>
      </c>
      <c r="BK27">
        <f t="shared" si="29"/>
        <v>0</v>
      </c>
      <c r="BL27">
        <f t="shared" si="30"/>
        <v>0</v>
      </c>
      <c r="BM27">
        <f t="shared" si="31"/>
        <v>6</v>
      </c>
      <c r="BN27">
        <f t="shared" si="32"/>
        <v>9</v>
      </c>
      <c r="BO27">
        <f t="shared" si="33"/>
        <v>9</v>
      </c>
      <c r="BP27">
        <f t="shared" si="34"/>
        <v>4</v>
      </c>
      <c r="BQ27">
        <f t="shared" si="35"/>
        <v>0</v>
      </c>
      <c r="BR27">
        <f t="shared" si="36"/>
        <v>0</v>
      </c>
      <c r="BS27">
        <f t="shared" si="37"/>
        <v>0</v>
      </c>
      <c r="BT27" s="4">
        <f t="shared" si="38"/>
        <v>28</v>
      </c>
      <c r="BU27" s="8" t="str">
        <f>LOOKUP(D27,'Mower Equipment EFs'!B$2:B$6,'Mower Equipment EFs'!A$2:A$6)</f>
        <v>John Deere 7500A fairway mower</v>
      </c>
      <c r="BV27" s="8">
        <f>LOOKUP(D27,'Mower Equipment EFs'!B$2:B$6,'Mower Equipment EFs'!H$2:H$6)</f>
        <v>2.2621799999999999</v>
      </c>
      <c r="BW27">
        <f t="shared" si="39"/>
        <v>6.3341039999999991</v>
      </c>
      <c r="BX27">
        <f t="shared" si="40"/>
        <v>3.5</v>
      </c>
      <c r="BY27" s="35">
        <f t="shared" si="41"/>
        <v>9.8138892962125652</v>
      </c>
      <c r="BZ27">
        <f t="shared" si="42"/>
        <v>0.15421826036905459</v>
      </c>
      <c r="CA27">
        <v>0.23599999999999999</v>
      </c>
      <c r="CB27">
        <v>270</v>
      </c>
      <c r="CC27" s="5">
        <f t="shared" si="43"/>
        <v>41.638930299644741</v>
      </c>
      <c r="CD27" s="5">
        <f t="shared" si="44"/>
        <v>63.72</v>
      </c>
      <c r="CE27" s="32">
        <v>3.7810000000000001</v>
      </c>
      <c r="CF27" s="5">
        <f t="shared" si="45"/>
        <v>37.106315428979713</v>
      </c>
      <c r="CG27" s="26">
        <f t="shared" si="46"/>
        <v>85.07934972862445</v>
      </c>
      <c r="CH27" s="5">
        <f t="shared" si="47"/>
        <v>70.054103999999995</v>
      </c>
      <c r="CJ27" s="27"/>
      <c r="CK27" s="15"/>
      <c r="CL27" s="27"/>
    </row>
    <row r="28" spans="1:90">
      <c r="A28" t="s">
        <v>4</v>
      </c>
      <c r="B28" t="s">
        <v>198</v>
      </c>
      <c r="C28" t="s">
        <v>7</v>
      </c>
      <c r="D28" t="s">
        <v>92</v>
      </c>
      <c r="E28" t="s">
        <v>216</v>
      </c>
      <c r="F28" s="9" t="s">
        <v>226</v>
      </c>
      <c r="G28" t="s">
        <v>12</v>
      </c>
      <c r="H28">
        <v>39.733106788293597</v>
      </c>
      <c r="I28">
        <v>-104.906620368929</v>
      </c>
      <c r="J28" t="s">
        <v>44</v>
      </c>
      <c r="K28" t="s">
        <v>27</v>
      </c>
      <c r="L28" t="s">
        <v>443</v>
      </c>
      <c r="M28" s="9" t="s">
        <v>516</v>
      </c>
      <c r="N28">
        <v>0</v>
      </c>
      <c r="O28">
        <v>11.4</v>
      </c>
      <c r="P28">
        <v>1.6</v>
      </c>
      <c r="Q28">
        <v>45</v>
      </c>
      <c r="R28" t="s">
        <v>489</v>
      </c>
      <c r="S28" s="9" t="s">
        <v>552</v>
      </c>
      <c r="T28" s="22">
        <v>-0.6</v>
      </c>
      <c r="U28" s="22">
        <v>0.4</v>
      </c>
      <c r="V28" s="22">
        <v>4.4000000000000004</v>
      </c>
      <c r="W28" s="22">
        <v>8.6</v>
      </c>
      <c r="X28" s="22">
        <v>14</v>
      </c>
      <c r="Y28" s="22">
        <v>19.399999999999999</v>
      </c>
      <c r="Z28" s="22">
        <v>23.1</v>
      </c>
      <c r="AA28" s="22">
        <v>21.9</v>
      </c>
      <c r="AB28" s="22">
        <v>16.899999999999999</v>
      </c>
      <c r="AC28" s="22">
        <v>10.199999999999999</v>
      </c>
      <c r="AD28" s="22">
        <v>3.7</v>
      </c>
      <c r="AE28" s="22">
        <v>-1.1000000000000001</v>
      </c>
      <c r="AF28" s="24">
        <f t="shared" si="0"/>
        <v>5.5</v>
      </c>
      <c r="AG28" s="24">
        <f t="shared" si="1"/>
        <v>20</v>
      </c>
      <c r="AH28" s="25">
        <f t="shared" si="2"/>
        <v>8.9901137013807776E-4</v>
      </c>
      <c r="AI28" s="25">
        <f t="shared" si="3"/>
        <v>1.7471802677552638E-3</v>
      </c>
      <c r="AJ28" s="25">
        <f t="shared" si="4"/>
        <v>1.7908508590131888E-2</v>
      </c>
      <c r="AK28" s="25">
        <f t="shared" si="5"/>
        <v>0.11670578451141717</v>
      </c>
      <c r="AL28" s="25">
        <f t="shared" si="6"/>
        <v>0.5515397744971644</v>
      </c>
      <c r="AM28" s="25">
        <f t="shared" si="7"/>
        <v>0.99406725542300312</v>
      </c>
      <c r="AN28" s="25">
        <f t="shared" si="8"/>
        <v>0.85313031106278425</v>
      </c>
      <c r="AO28" s="25">
        <f t="shared" si="9"/>
        <v>0.94207591216748776</v>
      </c>
      <c r="AP28" s="25">
        <f t="shared" si="10"/>
        <v>0.85313031106278425</v>
      </c>
      <c r="AQ28" s="25">
        <f t="shared" si="11"/>
        <v>0.20444873561203109</v>
      </c>
      <c r="AR28" s="25">
        <f t="shared" si="12"/>
        <v>1.2381272281113609E-2</v>
      </c>
      <c r="AS28" s="25">
        <f t="shared" si="13"/>
        <v>6.3693498293545679E-4</v>
      </c>
      <c r="AT28">
        <v>3</v>
      </c>
      <c r="AU28" s="30">
        <f t="shared" si="48"/>
        <v>2.3333333333333335</v>
      </c>
      <c r="AV28" s="31">
        <f t="shared" si="14"/>
        <v>0</v>
      </c>
      <c r="AW28" s="31">
        <f t="shared" si="15"/>
        <v>0</v>
      </c>
      <c r="AX28" s="31">
        <f t="shared" si="16"/>
        <v>0</v>
      </c>
      <c r="AY28" s="31">
        <f t="shared" si="17"/>
        <v>0</v>
      </c>
      <c r="AZ28" s="31">
        <f t="shared" si="18"/>
        <v>3.33</v>
      </c>
      <c r="BA28" s="31">
        <f t="shared" si="19"/>
        <v>2.33</v>
      </c>
      <c r="BB28" s="31">
        <f t="shared" si="20"/>
        <v>2.33</v>
      </c>
      <c r="BC28" s="31">
        <f t="shared" si="21"/>
        <v>2.33</v>
      </c>
      <c r="BD28" s="31">
        <f t="shared" si="22"/>
        <v>2.33</v>
      </c>
      <c r="BE28" s="31">
        <f t="shared" si="23"/>
        <v>4.67</v>
      </c>
      <c r="BF28" s="31">
        <f t="shared" si="24"/>
        <v>0</v>
      </c>
      <c r="BG28" s="31">
        <f t="shared" si="25"/>
        <v>0</v>
      </c>
      <c r="BH28">
        <f t="shared" si="26"/>
        <v>0</v>
      </c>
      <c r="BI28">
        <f t="shared" si="27"/>
        <v>0</v>
      </c>
      <c r="BJ28">
        <f t="shared" si="28"/>
        <v>0</v>
      </c>
      <c r="BK28">
        <f t="shared" si="29"/>
        <v>0</v>
      </c>
      <c r="BL28">
        <f t="shared" si="30"/>
        <v>9</v>
      </c>
      <c r="BM28">
        <f t="shared" si="31"/>
        <v>13</v>
      </c>
      <c r="BN28">
        <f t="shared" si="32"/>
        <v>13</v>
      </c>
      <c r="BO28">
        <f t="shared" si="33"/>
        <v>13</v>
      </c>
      <c r="BP28">
        <f t="shared" si="34"/>
        <v>13</v>
      </c>
      <c r="BQ28">
        <f t="shared" si="35"/>
        <v>7</v>
      </c>
      <c r="BR28">
        <f t="shared" si="36"/>
        <v>0</v>
      </c>
      <c r="BS28">
        <f t="shared" si="37"/>
        <v>0</v>
      </c>
      <c r="BT28" s="4">
        <f t="shared" si="38"/>
        <v>68</v>
      </c>
      <c r="BU28" s="8" t="str">
        <f>LOOKUP(D28,'Mower Equipment EFs'!B$2:B$6,'Mower Equipment EFs'!A$2:A$6)</f>
        <v>Jacobsen Eclipse 322 hybrid gasoline reel mower</v>
      </c>
      <c r="BV28" s="8">
        <f>LOOKUP(D28,'Mower Equipment EFs'!B$2:B$6,'Mower Equipment EFs'!H$2:H$6)</f>
        <v>3.1995</v>
      </c>
      <c r="BW28">
        <f t="shared" si="39"/>
        <v>21.756600000000002</v>
      </c>
      <c r="BX28">
        <f t="shared" si="40"/>
        <v>3.5</v>
      </c>
      <c r="BY28" s="35">
        <f t="shared" si="41"/>
        <v>15.920348471400613</v>
      </c>
      <c r="BZ28">
        <f t="shared" si="42"/>
        <v>0.25017690455058106</v>
      </c>
      <c r="CA28">
        <v>0.23599999999999999</v>
      </c>
      <c r="CB28">
        <v>270</v>
      </c>
      <c r="CC28" s="5">
        <f t="shared" si="43"/>
        <v>67.547764228656888</v>
      </c>
      <c r="CD28" s="5">
        <f t="shared" si="44"/>
        <v>63.72</v>
      </c>
      <c r="CE28" s="32">
        <v>3.7810000000000001</v>
      </c>
      <c r="CF28" s="5">
        <f t="shared" si="45"/>
        <v>60.194837570365721</v>
      </c>
      <c r="CG28" s="26">
        <f t="shared" si="46"/>
        <v>149.49920179902261</v>
      </c>
      <c r="CH28" s="5">
        <f t="shared" si="47"/>
        <v>85.476600000000005</v>
      </c>
      <c r="CJ28" s="27"/>
      <c r="CK28" s="15"/>
      <c r="CL28" s="27"/>
    </row>
    <row r="29" spans="1:90">
      <c r="A29" t="s">
        <v>29</v>
      </c>
      <c r="B29" t="s">
        <v>30</v>
      </c>
      <c r="C29" t="s">
        <v>53</v>
      </c>
      <c r="D29" t="s">
        <v>8</v>
      </c>
      <c r="E29" t="s">
        <v>216</v>
      </c>
      <c r="F29" t="s">
        <v>226</v>
      </c>
      <c r="G29" t="s">
        <v>33</v>
      </c>
      <c r="H29">
        <v>40.670416549920198</v>
      </c>
      <c r="I29">
        <v>-95.857801840730303</v>
      </c>
      <c r="J29" t="s">
        <v>46</v>
      </c>
      <c r="K29" t="s">
        <v>447</v>
      </c>
      <c r="L29" t="s">
        <v>512</v>
      </c>
      <c r="M29" s="9" t="s">
        <v>517</v>
      </c>
      <c r="N29">
        <v>0</v>
      </c>
      <c r="O29">
        <v>20</v>
      </c>
      <c r="P29">
        <v>0.16700000000000001</v>
      </c>
      <c r="Q29">
        <v>4</v>
      </c>
      <c r="R29" t="s">
        <v>159</v>
      </c>
      <c r="S29" s="9" t="s">
        <v>592</v>
      </c>
      <c r="T29" s="22">
        <v>-3.8</v>
      </c>
      <c r="U29" s="22">
        <v>-1.2</v>
      </c>
      <c r="V29" s="22">
        <v>4.7</v>
      </c>
      <c r="W29" s="22">
        <v>11.5</v>
      </c>
      <c r="X29" s="22">
        <v>17.2</v>
      </c>
      <c r="Y29" s="22">
        <v>22.2</v>
      </c>
      <c r="Z29" s="22">
        <v>25.3</v>
      </c>
      <c r="AA29" s="22">
        <v>24.3</v>
      </c>
      <c r="AB29" s="22">
        <v>19.899999999999999</v>
      </c>
      <c r="AC29" s="22">
        <v>13.6</v>
      </c>
      <c r="AD29" s="22">
        <v>5.0999999999999996</v>
      </c>
      <c r="AE29" s="22">
        <v>-1.3</v>
      </c>
      <c r="AF29" s="24">
        <f t="shared" si="0"/>
        <v>5.5</v>
      </c>
      <c r="AG29" s="24">
        <f t="shared" si="1"/>
        <v>20</v>
      </c>
      <c r="AH29" s="25">
        <f t="shared" si="2"/>
        <v>8.5872696805214054E-5</v>
      </c>
      <c r="AI29" s="25">
        <f t="shared" si="3"/>
        <v>5.9392332431494567E-4</v>
      </c>
      <c r="AJ29" s="25">
        <f t="shared" si="4"/>
        <v>2.0873889686152176E-2</v>
      </c>
      <c r="AK29" s="25">
        <f t="shared" si="5"/>
        <v>0.3029417076322124</v>
      </c>
      <c r="AL29" s="25">
        <f t="shared" si="6"/>
        <v>0.87845835525138294</v>
      </c>
      <c r="AM29" s="25">
        <f t="shared" si="7"/>
        <v>0.92311634638663587</v>
      </c>
      <c r="AN29" s="25">
        <f t="shared" si="8"/>
        <v>0.62857651214451937</v>
      </c>
      <c r="AO29" s="25">
        <f t="shared" si="9"/>
        <v>0.73666662130841021</v>
      </c>
      <c r="AP29" s="25">
        <f t="shared" si="10"/>
        <v>0.99983472440331811</v>
      </c>
      <c r="AQ29" s="25">
        <f t="shared" si="11"/>
        <v>0.50812652706610517</v>
      </c>
      <c r="AR29" s="25">
        <f t="shared" si="12"/>
        <v>2.5486999588997236E-2</v>
      </c>
      <c r="AS29" s="25">
        <f t="shared" si="13"/>
        <v>5.5363315565283761E-4</v>
      </c>
      <c r="AT29">
        <v>2</v>
      </c>
      <c r="AU29" s="30">
        <f t="shared" si="48"/>
        <v>3.5</v>
      </c>
      <c r="AV29" s="31">
        <f t="shared" si="14"/>
        <v>0</v>
      </c>
      <c r="AW29" s="31">
        <f t="shared" si="15"/>
        <v>0</v>
      </c>
      <c r="AX29" s="31">
        <f t="shared" si="16"/>
        <v>0</v>
      </c>
      <c r="AY29" s="31">
        <f t="shared" si="17"/>
        <v>7</v>
      </c>
      <c r="AZ29" s="31">
        <f t="shared" si="18"/>
        <v>3.5</v>
      </c>
      <c r="BA29" s="31">
        <f t="shared" si="19"/>
        <v>3.5</v>
      </c>
      <c r="BB29" s="31">
        <f t="shared" si="20"/>
        <v>5</v>
      </c>
      <c r="BC29" s="31">
        <f t="shared" si="21"/>
        <v>5</v>
      </c>
      <c r="BD29" s="31">
        <f t="shared" si="22"/>
        <v>3.5</v>
      </c>
      <c r="BE29" s="31">
        <f t="shared" si="23"/>
        <v>5</v>
      </c>
      <c r="BF29" s="31">
        <f t="shared" si="24"/>
        <v>0</v>
      </c>
      <c r="BG29" s="31">
        <f t="shared" si="25"/>
        <v>0</v>
      </c>
      <c r="BH29">
        <f t="shared" si="26"/>
        <v>0</v>
      </c>
      <c r="BI29">
        <f t="shared" si="27"/>
        <v>0</v>
      </c>
      <c r="BJ29">
        <f t="shared" si="28"/>
        <v>0</v>
      </c>
      <c r="BK29">
        <f t="shared" si="29"/>
        <v>4</v>
      </c>
      <c r="BL29">
        <f t="shared" si="30"/>
        <v>9</v>
      </c>
      <c r="BM29">
        <f t="shared" si="31"/>
        <v>9</v>
      </c>
      <c r="BN29">
        <f t="shared" si="32"/>
        <v>6</v>
      </c>
      <c r="BO29">
        <f t="shared" si="33"/>
        <v>6</v>
      </c>
      <c r="BP29">
        <f t="shared" si="34"/>
        <v>9</v>
      </c>
      <c r="BQ29">
        <f t="shared" si="35"/>
        <v>6</v>
      </c>
      <c r="BR29">
        <f t="shared" si="36"/>
        <v>0</v>
      </c>
      <c r="BS29">
        <f t="shared" si="37"/>
        <v>0</v>
      </c>
      <c r="BT29" s="4">
        <f t="shared" si="38"/>
        <v>49</v>
      </c>
      <c r="BU29" s="8" t="str">
        <f>LOOKUP(D29,'Mower Equipment EFs'!B$2:B$6,'Mower Equipment EFs'!A$2:A$6)</f>
        <v>John Deere 7500A fairway mower</v>
      </c>
      <c r="BV29" s="8">
        <f>LOOKUP(D29,'Mower Equipment EFs'!B$2:B$6,'Mower Equipment EFs'!H$2:H$6)</f>
        <v>2.2621799999999999</v>
      </c>
      <c r="BW29">
        <f t="shared" si="39"/>
        <v>11.084681999999999</v>
      </c>
      <c r="BX29">
        <f t="shared" si="40"/>
        <v>3.5</v>
      </c>
      <c r="BY29" s="35">
        <f t="shared" si="41"/>
        <v>17.588602894255775</v>
      </c>
      <c r="BZ29">
        <f t="shared" si="42"/>
        <v>0.27639233119544787</v>
      </c>
      <c r="CA29">
        <v>0.23599999999999999</v>
      </c>
      <c r="CB29">
        <v>270</v>
      </c>
      <c r="CC29" s="5">
        <f t="shared" si="43"/>
        <v>74.625929422770923</v>
      </c>
      <c r="CD29" s="5">
        <f t="shared" si="44"/>
        <v>63.72</v>
      </c>
      <c r="CE29" s="32">
        <v>3.7810000000000001</v>
      </c>
      <c r="CF29" s="5">
        <f t="shared" si="45"/>
        <v>66.502507543181082</v>
      </c>
      <c r="CG29" s="26">
        <f t="shared" si="46"/>
        <v>152.21311896595199</v>
      </c>
      <c r="CH29" s="5">
        <f t="shared" si="47"/>
        <v>74.804682</v>
      </c>
      <c r="CJ29" s="27"/>
      <c r="CK29" s="15"/>
      <c r="CL29" s="27"/>
    </row>
    <row r="30" spans="1:90">
      <c r="A30" t="s">
        <v>29</v>
      </c>
      <c r="B30" t="s">
        <v>32</v>
      </c>
      <c r="C30" t="s">
        <v>53</v>
      </c>
      <c r="D30" t="s">
        <v>78</v>
      </c>
      <c r="E30" t="s">
        <v>218</v>
      </c>
      <c r="F30" t="s">
        <v>226</v>
      </c>
      <c r="G30" t="s">
        <v>33</v>
      </c>
      <c r="H30">
        <v>40.670416549920198</v>
      </c>
      <c r="I30">
        <v>-95.857801840730303</v>
      </c>
      <c r="J30" t="s">
        <v>46</v>
      </c>
      <c r="K30" t="s">
        <v>447</v>
      </c>
      <c r="L30" t="s">
        <v>512</v>
      </c>
      <c r="M30" s="9" t="s">
        <v>517</v>
      </c>
      <c r="N30">
        <v>0</v>
      </c>
      <c r="O30">
        <v>20</v>
      </c>
      <c r="P30">
        <v>0.16700000000000001</v>
      </c>
      <c r="Q30">
        <v>4</v>
      </c>
      <c r="R30" t="s">
        <v>160</v>
      </c>
      <c r="S30" s="9" t="s">
        <v>591</v>
      </c>
      <c r="T30" s="22">
        <v>-3.8</v>
      </c>
      <c r="U30" s="22">
        <v>-1.2</v>
      </c>
      <c r="V30" s="22">
        <v>4.7</v>
      </c>
      <c r="W30" s="22">
        <v>11.5</v>
      </c>
      <c r="X30" s="22">
        <v>17.2</v>
      </c>
      <c r="Y30" s="22">
        <v>22.2</v>
      </c>
      <c r="Z30" s="22">
        <v>25.3</v>
      </c>
      <c r="AA30" s="22">
        <v>24.3</v>
      </c>
      <c r="AB30" s="22">
        <v>19.899999999999999</v>
      </c>
      <c r="AC30" s="22">
        <v>13.6</v>
      </c>
      <c r="AD30" s="22">
        <v>5.0999999999999996</v>
      </c>
      <c r="AE30" s="22">
        <v>-1.3</v>
      </c>
      <c r="AF30" s="24">
        <f t="shared" si="0"/>
        <v>5.5</v>
      </c>
      <c r="AG30" s="24">
        <f t="shared" si="1"/>
        <v>20</v>
      </c>
      <c r="AH30" s="25">
        <f t="shared" si="2"/>
        <v>8.5872696805214054E-5</v>
      </c>
      <c r="AI30" s="25">
        <f t="shared" si="3"/>
        <v>5.9392332431494567E-4</v>
      </c>
      <c r="AJ30" s="25">
        <f t="shared" si="4"/>
        <v>2.0873889686152176E-2</v>
      </c>
      <c r="AK30" s="25">
        <f t="shared" si="5"/>
        <v>0.3029417076322124</v>
      </c>
      <c r="AL30" s="25">
        <f t="shared" si="6"/>
        <v>0.87845835525138294</v>
      </c>
      <c r="AM30" s="25">
        <f t="shared" si="7"/>
        <v>0.92311634638663587</v>
      </c>
      <c r="AN30" s="25">
        <f t="shared" si="8"/>
        <v>0.62857651214451937</v>
      </c>
      <c r="AO30" s="25">
        <f t="shared" si="9"/>
        <v>0.73666662130841021</v>
      </c>
      <c r="AP30" s="25">
        <f t="shared" si="10"/>
        <v>0.99983472440331811</v>
      </c>
      <c r="AQ30" s="25">
        <f t="shared" si="11"/>
        <v>0.50812652706610517</v>
      </c>
      <c r="AR30" s="25">
        <f t="shared" si="12"/>
        <v>2.5486999588997236E-2</v>
      </c>
      <c r="AS30" s="25">
        <f t="shared" si="13"/>
        <v>5.5363315565283761E-4</v>
      </c>
      <c r="AT30">
        <v>1</v>
      </c>
      <c r="AU30" s="30">
        <f t="shared" si="48"/>
        <v>7</v>
      </c>
      <c r="AV30" s="31">
        <f t="shared" si="14"/>
        <v>0</v>
      </c>
      <c r="AW30" s="31">
        <f t="shared" si="15"/>
        <v>0</v>
      </c>
      <c r="AX30" s="31">
        <f t="shared" si="16"/>
        <v>0</v>
      </c>
      <c r="AY30" s="31">
        <f t="shared" si="17"/>
        <v>14</v>
      </c>
      <c r="AZ30" s="31">
        <f t="shared" si="18"/>
        <v>7</v>
      </c>
      <c r="BA30" s="31">
        <f t="shared" si="19"/>
        <v>7</v>
      </c>
      <c r="BB30" s="31">
        <f t="shared" si="20"/>
        <v>10</v>
      </c>
      <c r="BC30" s="31">
        <f t="shared" si="21"/>
        <v>10</v>
      </c>
      <c r="BD30" s="31">
        <f t="shared" si="22"/>
        <v>7</v>
      </c>
      <c r="BE30" s="31">
        <f t="shared" si="23"/>
        <v>10</v>
      </c>
      <c r="BF30" s="31">
        <f t="shared" si="24"/>
        <v>0</v>
      </c>
      <c r="BG30" s="31">
        <f t="shared" si="25"/>
        <v>0</v>
      </c>
      <c r="BH30">
        <f t="shared" si="26"/>
        <v>0</v>
      </c>
      <c r="BI30">
        <f t="shared" si="27"/>
        <v>0</v>
      </c>
      <c r="BJ30">
        <f t="shared" si="28"/>
        <v>0</v>
      </c>
      <c r="BK30">
        <f t="shared" si="29"/>
        <v>2</v>
      </c>
      <c r="BL30">
        <f t="shared" si="30"/>
        <v>4</v>
      </c>
      <c r="BM30">
        <f t="shared" si="31"/>
        <v>4</v>
      </c>
      <c r="BN30">
        <f t="shared" si="32"/>
        <v>3</v>
      </c>
      <c r="BO30">
        <f t="shared" si="33"/>
        <v>3</v>
      </c>
      <c r="BP30">
        <f t="shared" si="34"/>
        <v>4</v>
      </c>
      <c r="BQ30">
        <f t="shared" si="35"/>
        <v>3</v>
      </c>
      <c r="BR30">
        <f t="shared" si="36"/>
        <v>0</v>
      </c>
      <c r="BS30">
        <f t="shared" si="37"/>
        <v>0</v>
      </c>
      <c r="BT30" s="4">
        <f t="shared" si="38"/>
        <v>23</v>
      </c>
      <c r="BU30" s="8" t="str">
        <f>LOOKUP(D30,'Mower Equipment EFs'!B$2:B$6,'Mower Equipment EFs'!A$2:A$6)</f>
        <v>Jacobsen Eclipse 322 hybrid gasoline reel mower</v>
      </c>
      <c r="BV30" s="8">
        <f>LOOKUP(D30,'Mower Equipment EFs'!B$2:B$6,'Mower Equipment EFs'!H$2:H$6)</f>
        <v>3.1995</v>
      </c>
      <c r="BW30">
        <f t="shared" si="39"/>
        <v>7.3588500000000003</v>
      </c>
      <c r="BX30">
        <v>1.5</v>
      </c>
      <c r="BY30" s="35">
        <f t="shared" si="41"/>
        <v>7.537972668966761</v>
      </c>
      <c r="BZ30">
        <f t="shared" si="42"/>
        <v>0.11845385622662052</v>
      </c>
      <c r="CA30">
        <v>0.23599999999999999</v>
      </c>
      <c r="CB30">
        <v>270</v>
      </c>
      <c r="CC30" s="5">
        <f t="shared" si="43"/>
        <v>31.982541181187543</v>
      </c>
      <c r="CD30" s="5">
        <f t="shared" si="44"/>
        <v>63.72</v>
      </c>
      <c r="CE30" s="32">
        <v>3.7810000000000001</v>
      </c>
      <c r="CF30" s="5">
        <f t="shared" si="45"/>
        <v>28.501074661363326</v>
      </c>
      <c r="CG30" s="26">
        <f t="shared" si="46"/>
        <v>67.842465842550865</v>
      </c>
      <c r="CH30" s="5">
        <f t="shared" si="47"/>
        <v>71.078850000000003</v>
      </c>
      <c r="CJ30" s="27"/>
      <c r="CK30" s="15"/>
      <c r="CL30" s="27"/>
    </row>
    <row r="31" spans="1:90">
      <c r="A31" t="s">
        <v>29</v>
      </c>
      <c r="B31" t="s">
        <v>31</v>
      </c>
      <c r="C31" t="s">
        <v>53</v>
      </c>
      <c r="D31" t="s">
        <v>78</v>
      </c>
      <c r="E31" t="s">
        <v>218</v>
      </c>
      <c r="F31" t="s">
        <v>226</v>
      </c>
      <c r="G31" t="s">
        <v>33</v>
      </c>
      <c r="H31">
        <v>40.670416549920198</v>
      </c>
      <c r="I31">
        <v>-95.857801840730303</v>
      </c>
      <c r="J31" t="s">
        <v>46</v>
      </c>
      <c r="K31" t="s">
        <v>447</v>
      </c>
      <c r="L31" t="s">
        <v>512</v>
      </c>
      <c r="M31" s="9" t="s">
        <v>517</v>
      </c>
      <c r="N31">
        <v>0</v>
      </c>
      <c r="O31">
        <v>20</v>
      </c>
      <c r="P31">
        <v>0.16700000000000001</v>
      </c>
      <c r="Q31">
        <v>4</v>
      </c>
      <c r="R31" t="s">
        <v>161</v>
      </c>
      <c r="S31" s="9" t="s">
        <v>590</v>
      </c>
      <c r="T31" s="22">
        <v>-3.8</v>
      </c>
      <c r="U31" s="22">
        <v>-1.2</v>
      </c>
      <c r="V31" s="22">
        <v>4.7</v>
      </c>
      <c r="W31" s="22">
        <v>11.5</v>
      </c>
      <c r="X31" s="22">
        <v>17.2</v>
      </c>
      <c r="Y31" s="22">
        <v>22.2</v>
      </c>
      <c r="Z31" s="22">
        <v>25.3</v>
      </c>
      <c r="AA31" s="22">
        <v>24.3</v>
      </c>
      <c r="AB31" s="22">
        <v>19.899999999999999</v>
      </c>
      <c r="AC31" s="22">
        <v>13.6</v>
      </c>
      <c r="AD31" s="22">
        <v>5.0999999999999996</v>
      </c>
      <c r="AE31" s="22">
        <v>-1.3</v>
      </c>
      <c r="AF31" s="24">
        <f t="shared" si="0"/>
        <v>5.5</v>
      </c>
      <c r="AG31" s="24">
        <f t="shared" si="1"/>
        <v>20</v>
      </c>
      <c r="AH31" s="25">
        <f t="shared" si="2"/>
        <v>8.5872696805214054E-5</v>
      </c>
      <c r="AI31" s="25">
        <f t="shared" si="3"/>
        <v>5.9392332431494567E-4</v>
      </c>
      <c r="AJ31" s="25">
        <f t="shared" si="4"/>
        <v>2.0873889686152176E-2</v>
      </c>
      <c r="AK31" s="25">
        <f t="shared" si="5"/>
        <v>0.3029417076322124</v>
      </c>
      <c r="AL31" s="25">
        <f t="shared" si="6"/>
        <v>0.87845835525138294</v>
      </c>
      <c r="AM31" s="25">
        <f t="shared" si="7"/>
        <v>0.92311634638663587</v>
      </c>
      <c r="AN31" s="25">
        <f t="shared" si="8"/>
        <v>0.62857651214451937</v>
      </c>
      <c r="AO31" s="25">
        <f t="shared" si="9"/>
        <v>0.73666662130841021</v>
      </c>
      <c r="AP31" s="25">
        <f t="shared" si="10"/>
        <v>0.99983472440331811</v>
      </c>
      <c r="AQ31" s="25">
        <f t="shared" si="11"/>
        <v>0.50812652706610517</v>
      </c>
      <c r="AR31" s="25">
        <f t="shared" si="12"/>
        <v>2.5486999588997236E-2</v>
      </c>
      <c r="AS31" s="25">
        <f t="shared" si="13"/>
        <v>5.5363315565283761E-4</v>
      </c>
      <c r="AT31">
        <v>1</v>
      </c>
      <c r="AU31" s="30">
        <f t="shared" si="48"/>
        <v>7</v>
      </c>
      <c r="AV31" s="31">
        <f t="shared" si="14"/>
        <v>0</v>
      </c>
      <c r="AW31" s="31">
        <f t="shared" si="15"/>
        <v>0</v>
      </c>
      <c r="AX31" s="31">
        <f t="shared" si="16"/>
        <v>0</v>
      </c>
      <c r="AY31" s="31">
        <f t="shared" si="17"/>
        <v>14</v>
      </c>
      <c r="AZ31" s="31">
        <f t="shared" si="18"/>
        <v>7</v>
      </c>
      <c r="BA31" s="31">
        <f t="shared" si="19"/>
        <v>7</v>
      </c>
      <c r="BB31" s="31">
        <f t="shared" si="20"/>
        <v>10</v>
      </c>
      <c r="BC31" s="31">
        <f t="shared" si="21"/>
        <v>10</v>
      </c>
      <c r="BD31" s="31">
        <f t="shared" si="22"/>
        <v>7</v>
      </c>
      <c r="BE31" s="31">
        <f t="shared" si="23"/>
        <v>10</v>
      </c>
      <c r="BF31" s="31">
        <f t="shared" si="24"/>
        <v>0</v>
      </c>
      <c r="BG31" s="31">
        <f t="shared" si="25"/>
        <v>0</v>
      </c>
      <c r="BH31">
        <f t="shared" si="26"/>
        <v>0</v>
      </c>
      <c r="BI31">
        <f t="shared" si="27"/>
        <v>0</v>
      </c>
      <c r="BJ31">
        <f t="shared" si="28"/>
        <v>0</v>
      </c>
      <c r="BK31">
        <f t="shared" si="29"/>
        <v>2</v>
      </c>
      <c r="BL31">
        <f t="shared" si="30"/>
        <v>4</v>
      </c>
      <c r="BM31">
        <f t="shared" si="31"/>
        <v>4</v>
      </c>
      <c r="BN31">
        <f t="shared" si="32"/>
        <v>3</v>
      </c>
      <c r="BO31">
        <f t="shared" si="33"/>
        <v>3</v>
      </c>
      <c r="BP31">
        <f t="shared" si="34"/>
        <v>4</v>
      </c>
      <c r="BQ31">
        <f t="shared" si="35"/>
        <v>3</v>
      </c>
      <c r="BR31">
        <f t="shared" si="36"/>
        <v>0</v>
      </c>
      <c r="BS31">
        <f t="shared" si="37"/>
        <v>0</v>
      </c>
      <c r="BT31" s="4">
        <f t="shared" si="38"/>
        <v>23</v>
      </c>
      <c r="BU31" s="8" t="str">
        <f>LOOKUP(D31,'Mower Equipment EFs'!B$2:B$6,'Mower Equipment EFs'!A$2:A$6)</f>
        <v>Jacobsen Eclipse 322 hybrid gasoline reel mower</v>
      </c>
      <c r="BV31" s="8">
        <f>LOOKUP(D31,'Mower Equipment EFs'!B$2:B$6,'Mower Equipment EFs'!H$2:H$6)</f>
        <v>3.1995</v>
      </c>
      <c r="BW31">
        <f t="shared" si="39"/>
        <v>7.3588500000000003</v>
      </c>
      <c r="BX31">
        <v>1.5</v>
      </c>
      <c r="BY31" s="35">
        <f t="shared" si="41"/>
        <v>7.537972668966761</v>
      </c>
      <c r="BZ31">
        <f t="shared" si="42"/>
        <v>0.11845385622662052</v>
      </c>
      <c r="CA31">
        <v>0.23599999999999999</v>
      </c>
      <c r="CB31">
        <v>270</v>
      </c>
      <c r="CC31" s="5">
        <f t="shared" si="43"/>
        <v>31.982541181187543</v>
      </c>
      <c r="CD31" s="5">
        <f t="shared" si="44"/>
        <v>63.72</v>
      </c>
      <c r="CE31" s="32">
        <v>3.7810000000000001</v>
      </c>
      <c r="CF31" s="5">
        <f t="shared" si="45"/>
        <v>28.501074661363326</v>
      </c>
      <c r="CG31" s="26">
        <f t="shared" si="46"/>
        <v>67.842465842550865</v>
      </c>
      <c r="CH31" s="5">
        <f t="shared" si="47"/>
        <v>71.078850000000003</v>
      </c>
      <c r="CJ31" s="27"/>
      <c r="CK31" s="15"/>
      <c r="CL31" s="27"/>
    </row>
    <row r="32" spans="1:90">
      <c r="A32" t="s">
        <v>29</v>
      </c>
      <c r="B32" t="s">
        <v>166</v>
      </c>
      <c r="C32" t="s">
        <v>53</v>
      </c>
      <c r="D32" t="s">
        <v>78</v>
      </c>
      <c r="E32" t="s">
        <v>212</v>
      </c>
      <c r="F32" t="s">
        <v>226</v>
      </c>
      <c r="G32" t="s">
        <v>33</v>
      </c>
      <c r="H32">
        <v>40.670416549920198</v>
      </c>
      <c r="I32">
        <v>-95.857801840730303</v>
      </c>
      <c r="J32" t="s">
        <v>46</v>
      </c>
      <c r="K32" t="s">
        <v>447</v>
      </c>
      <c r="L32" t="s">
        <v>512</v>
      </c>
      <c r="M32" s="9" t="s">
        <v>517</v>
      </c>
      <c r="N32">
        <v>0</v>
      </c>
      <c r="O32">
        <v>20</v>
      </c>
      <c r="P32">
        <v>0.16700000000000001</v>
      </c>
      <c r="Q32">
        <v>4</v>
      </c>
      <c r="R32" t="s">
        <v>123</v>
      </c>
      <c r="S32" s="9" t="s">
        <v>589</v>
      </c>
      <c r="T32" s="22">
        <v>-3.8</v>
      </c>
      <c r="U32" s="22">
        <v>-1.2</v>
      </c>
      <c r="V32" s="22">
        <v>4.7</v>
      </c>
      <c r="W32" s="22">
        <v>11.5</v>
      </c>
      <c r="X32" s="22">
        <v>17.2</v>
      </c>
      <c r="Y32" s="22">
        <v>22.2</v>
      </c>
      <c r="Z32" s="22">
        <v>25.3</v>
      </c>
      <c r="AA32" s="22">
        <v>24.3</v>
      </c>
      <c r="AB32" s="22">
        <v>19.899999999999999</v>
      </c>
      <c r="AC32" s="22">
        <v>13.6</v>
      </c>
      <c r="AD32" s="22">
        <v>5.0999999999999996</v>
      </c>
      <c r="AE32" s="22">
        <v>-1.3</v>
      </c>
      <c r="AF32" s="24">
        <f t="shared" si="0"/>
        <v>5.5</v>
      </c>
      <c r="AG32" s="24">
        <f t="shared" si="1"/>
        <v>20</v>
      </c>
      <c r="AH32" s="25">
        <f t="shared" si="2"/>
        <v>8.5872696805214054E-5</v>
      </c>
      <c r="AI32" s="25">
        <f t="shared" si="3"/>
        <v>5.9392332431494567E-4</v>
      </c>
      <c r="AJ32" s="25">
        <f t="shared" si="4"/>
        <v>2.0873889686152176E-2</v>
      </c>
      <c r="AK32" s="25">
        <f t="shared" si="5"/>
        <v>0.3029417076322124</v>
      </c>
      <c r="AL32" s="25">
        <f t="shared" si="6"/>
        <v>0.87845835525138294</v>
      </c>
      <c r="AM32" s="25">
        <f t="shared" si="7"/>
        <v>0.92311634638663587</v>
      </c>
      <c r="AN32" s="25">
        <f t="shared" si="8"/>
        <v>0.62857651214451937</v>
      </c>
      <c r="AO32" s="25">
        <f t="shared" si="9"/>
        <v>0.73666662130841021</v>
      </c>
      <c r="AP32" s="25">
        <f t="shared" si="10"/>
        <v>0.99983472440331811</v>
      </c>
      <c r="AQ32" s="25">
        <f t="shared" si="11"/>
        <v>0.50812652706610517</v>
      </c>
      <c r="AR32" s="25">
        <f t="shared" si="12"/>
        <v>2.5486999588997236E-2</v>
      </c>
      <c r="AS32" s="25">
        <f t="shared" si="13"/>
        <v>5.5363315565283761E-4</v>
      </c>
      <c r="AT32">
        <v>1</v>
      </c>
      <c r="AU32" s="30">
        <f t="shared" si="48"/>
        <v>7</v>
      </c>
      <c r="AV32" s="31">
        <f t="shared" si="14"/>
        <v>0</v>
      </c>
      <c r="AW32" s="31">
        <f t="shared" si="15"/>
        <v>0</v>
      </c>
      <c r="AX32" s="31">
        <f t="shared" si="16"/>
        <v>0</v>
      </c>
      <c r="AY32" s="31">
        <f t="shared" si="17"/>
        <v>14</v>
      </c>
      <c r="AZ32" s="31">
        <f t="shared" si="18"/>
        <v>7</v>
      </c>
      <c r="BA32" s="31">
        <f t="shared" si="19"/>
        <v>7</v>
      </c>
      <c r="BB32" s="31">
        <f t="shared" si="20"/>
        <v>10</v>
      </c>
      <c r="BC32" s="31">
        <f t="shared" si="21"/>
        <v>10</v>
      </c>
      <c r="BD32" s="31">
        <f t="shared" si="22"/>
        <v>7</v>
      </c>
      <c r="BE32" s="31">
        <f t="shared" si="23"/>
        <v>10</v>
      </c>
      <c r="BF32" s="31">
        <f t="shared" si="24"/>
        <v>0</v>
      </c>
      <c r="BG32" s="31">
        <f t="shared" si="25"/>
        <v>0</v>
      </c>
      <c r="BH32">
        <f t="shared" si="26"/>
        <v>0</v>
      </c>
      <c r="BI32">
        <f t="shared" si="27"/>
        <v>0</v>
      </c>
      <c r="BJ32">
        <f t="shared" si="28"/>
        <v>0</v>
      </c>
      <c r="BK32">
        <f t="shared" si="29"/>
        <v>2</v>
      </c>
      <c r="BL32">
        <f t="shared" si="30"/>
        <v>4</v>
      </c>
      <c r="BM32">
        <f t="shared" si="31"/>
        <v>4</v>
      </c>
      <c r="BN32">
        <f t="shared" si="32"/>
        <v>3</v>
      </c>
      <c r="BO32">
        <f t="shared" si="33"/>
        <v>3</v>
      </c>
      <c r="BP32">
        <f t="shared" si="34"/>
        <v>4</v>
      </c>
      <c r="BQ32">
        <f t="shared" si="35"/>
        <v>3</v>
      </c>
      <c r="BR32">
        <f t="shared" si="36"/>
        <v>0</v>
      </c>
      <c r="BS32">
        <f t="shared" si="37"/>
        <v>0</v>
      </c>
      <c r="BT32" s="4">
        <f t="shared" si="38"/>
        <v>23</v>
      </c>
      <c r="BU32" s="8" t="str">
        <f>LOOKUP(D32,'Mower Equipment EFs'!B$2:B$6,'Mower Equipment EFs'!A$2:A$6)</f>
        <v>Jacobsen Eclipse 322 hybrid gasoline reel mower</v>
      </c>
      <c r="BV32" s="8">
        <f>LOOKUP(D32,'Mower Equipment EFs'!B$2:B$6,'Mower Equipment EFs'!H$2:H$6)</f>
        <v>3.1995</v>
      </c>
      <c r="BW32">
        <f t="shared" si="39"/>
        <v>7.3588500000000003</v>
      </c>
      <c r="BX32">
        <f t="shared" ref="BX32:BX66" si="49">IF(F32="Cool",3.5,4)</f>
        <v>3.5</v>
      </c>
      <c r="BY32" s="35">
        <f t="shared" si="41"/>
        <v>17.588602894255775</v>
      </c>
      <c r="BZ32">
        <f t="shared" si="42"/>
        <v>0.27639233119544787</v>
      </c>
      <c r="CA32">
        <v>0.23599999999999999</v>
      </c>
      <c r="CB32">
        <v>270</v>
      </c>
      <c r="CC32" s="5">
        <f t="shared" si="43"/>
        <v>74.625929422770923</v>
      </c>
      <c r="CD32" s="5">
        <f t="shared" si="44"/>
        <v>63.72</v>
      </c>
      <c r="CE32" s="32">
        <v>3.7810000000000001</v>
      </c>
      <c r="CF32" s="5">
        <f t="shared" si="45"/>
        <v>66.502507543181082</v>
      </c>
      <c r="CG32" s="26">
        <f t="shared" si="46"/>
        <v>148.48728696595202</v>
      </c>
      <c r="CH32" s="5">
        <f t="shared" si="47"/>
        <v>71.078850000000003</v>
      </c>
      <c r="CJ32" s="27"/>
      <c r="CK32" s="15"/>
      <c r="CL32" s="27"/>
    </row>
    <row r="33" spans="1:90">
      <c r="A33" t="s">
        <v>74</v>
      </c>
      <c r="B33" t="s">
        <v>221</v>
      </c>
      <c r="C33" t="s">
        <v>7</v>
      </c>
      <c r="D33" t="s">
        <v>9</v>
      </c>
      <c r="E33" t="s">
        <v>231</v>
      </c>
      <c r="F33" s="9" t="s">
        <v>226</v>
      </c>
      <c r="G33" t="s">
        <v>75</v>
      </c>
      <c r="H33">
        <v>39.250183999999997</v>
      </c>
      <c r="I33">
        <v>-76.500609999999995</v>
      </c>
      <c r="J33" t="s">
        <v>47</v>
      </c>
      <c r="K33" t="s">
        <v>11</v>
      </c>
      <c r="L33" t="s">
        <v>11</v>
      </c>
      <c r="M33" s="9" t="s">
        <v>517</v>
      </c>
      <c r="N33">
        <v>0</v>
      </c>
      <c r="O33">
        <v>100</v>
      </c>
      <c r="P33">
        <v>4</v>
      </c>
      <c r="Q33">
        <v>44</v>
      </c>
      <c r="R33" t="s">
        <v>124</v>
      </c>
      <c r="S33" s="9" t="s">
        <v>588</v>
      </c>
      <c r="T33" s="22">
        <v>0.5</v>
      </c>
      <c r="U33" s="22">
        <v>2.1</v>
      </c>
      <c r="V33" s="22">
        <v>6.4</v>
      </c>
      <c r="W33" s="22">
        <v>12.1</v>
      </c>
      <c r="X33" s="22">
        <v>17.2</v>
      </c>
      <c r="Y33" s="22">
        <v>22.4</v>
      </c>
      <c r="Z33" s="22">
        <v>25</v>
      </c>
      <c r="AA33" s="22">
        <v>23.9</v>
      </c>
      <c r="AB33" s="22">
        <v>19.899999999999999</v>
      </c>
      <c r="AC33" s="22">
        <v>13.4</v>
      </c>
      <c r="AD33" s="22">
        <v>8.1</v>
      </c>
      <c r="AE33" s="22">
        <v>2.6</v>
      </c>
      <c r="AF33" s="24">
        <f t="shared" si="0"/>
        <v>5.5</v>
      </c>
      <c r="AG33" s="24">
        <f t="shared" si="1"/>
        <v>20</v>
      </c>
      <c r="AH33" s="25">
        <f t="shared" si="2"/>
        <v>1.8638259026584011E-3</v>
      </c>
      <c r="AI33" s="25">
        <f t="shared" si="3"/>
        <v>5.0114345985882817E-3</v>
      </c>
      <c r="AJ33" s="25">
        <f t="shared" si="4"/>
        <v>4.7019631046114591E-2</v>
      </c>
      <c r="AK33" s="25">
        <f t="shared" si="5"/>
        <v>0.35644681102885617</v>
      </c>
      <c r="AL33" s="25">
        <f t="shared" si="6"/>
        <v>0.87845835525138294</v>
      </c>
      <c r="AM33" s="25">
        <f t="shared" si="7"/>
        <v>0.90918506690677436</v>
      </c>
      <c r="AN33" s="25">
        <f t="shared" si="8"/>
        <v>0.66151465564937462</v>
      </c>
      <c r="AO33" s="25">
        <f t="shared" si="9"/>
        <v>0.77770736843409005</v>
      </c>
      <c r="AP33" s="25">
        <f t="shared" si="10"/>
        <v>0.99983472440331811</v>
      </c>
      <c r="AQ33" s="25">
        <f t="shared" si="11"/>
        <v>0.48675225595997168</v>
      </c>
      <c r="AR33" s="25">
        <f t="shared" si="12"/>
        <v>9.6263971584939392E-2</v>
      </c>
      <c r="AS33" s="25">
        <f t="shared" si="13"/>
        <v>6.7090526641138959E-3</v>
      </c>
      <c r="AT33">
        <v>1</v>
      </c>
      <c r="AU33" s="30">
        <f t="shared" si="48"/>
        <v>7</v>
      </c>
      <c r="AV33" s="31">
        <f t="shared" si="14"/>
        <v>0</v>
      </c>
      <c r="AW33" s="31">
        <f t="shared" si="15"/>
        <v>0</v>
      </c>
      <c r="AX33" s="31">
        <f t="shared" si="16"/>
        <v>0</v>
      </c>
      <c r="AY33" s="31">
        <f t="shared" si="17"/>
        <v>14</v>
      </c>
      <c r="AZ33" s="31">
        <f t="shared" si="18"/>
        <v>7</v>
      </c>
      <c r="BA33" s="31">
        <f t="shared" si="19"/>
        <v>7</v>
      </c>
      <c r="BB33" s="31">
        <f t="shared" si="20"/>
        <v>10</v>
      </c>
      <c r="BC33" s="31">
        <f t="shared" si="21"/>
        <v>7</v>
      </c>
      <c r="BD33" s="31">
        <f t="shared" si="22"/>
        <v>7</v>
      </c>
      <c r="BE33" s="31">
        <f t="shared" si="23"/>
        <v>14</v>
      </c>
      <c r="BF33" s="31">
        <f t="shared" si="24"/>
        <v>0</v>
      </c>
      <c r="BG33" s="31">
        <f t="shared" si="25"/>
        <v>0</v>
      </c>
      <c r="BH33">
        <f t="shared" si="26"/>
        <v>0</v>
      </c>
      <c r="BI33">
        <f t="shared" si="27"/>
        <v>0</v>
      </c>
      <c r="BJ33">
        <f t="shared" si="28"/>
        <v>0</v>
      </c>
      <c r="BK33">
        <f t="shared" si="29"/>
        <v>2</v>
      </c>
      <c r="BL33">
        <f t="shared" si="30"/>
        <v>4</v>
      </c>
      <c r="BM33">
        <f t="shared" si="31"/>
        <v>4</v>
      </c>
      <c r="BN33">
        <f t="shared" si="32"/>
        <v>3</v>
      </c>
      <c r="BO33">
        <f t="shared" si="33"/>
        <v>4</v>
      </c>
      <c r="BP33">
        <f t="shared" si="34"/>
        <v>4</v>
      </c>
      <c r="BQ33">
        <f t="shared" si="35"/>
        <v>2</v>
      </c>
      <c r="BR33">
        <f t="shared" si="36"/>
        <v>0</v>
      </c>
      <c r="BS33">
        <f t="shared" si="37"/>
        <v>0</v>
      </c>
      <c r="BT33" s="4">
        <f t="shared" si="38"/>
        <v>23</v>
      </c>
      <c r="BU33" s="8" t="str">
        <f>LOOKUP(D33,'Mower Equipment EFs'!B$2:B$6,'Mower Equipment EFs'!A$2:A$6)</f>
        <v>Push Mower</v>
      </c>
      <c r="BV33" s="8">
        <f>LOOKUP(D33,'Mower Equipment EFs'!B$2:B$6,'Mower Equipment EFs'!H$2:H$6)</f>
        <v>15.88</v>
      </c>
      <c r="BW33">
        <f t="shared" si="39"/>
        <v>36.524000000000001</v>
      </c>
      <c r="BX33">
        <f t="shared" si="49"/>
        <v>3.5</v>
      </c>
      <c r="BY33" s="35">
        <f t="shared" si="41"/>
        <v>18.293685037005638</v>
      </c>
      <c r="BZ33">
        <f t="shared" si="42"/>
        <v>0.28747219343866004</v>
      </c>
      <c r="CA33">
        <v>0.23599999999999999</v>
      </c>
      <c r="CB33">
        <v>270</v>
      </c>
      <c r="CC33" s="5">
        <f t="shared" si="43"/>
        <v>77.617492228438209</v>
      </c>
      <c r="CD33" s="5">
        <f t="shared" si="44"/>
        <v>63.72</v>
      </c>
      <c r="CE33" s="32">
        <v>3.7810000000000001</v>
      </c>
      <c r="CF33" s="5">
        <f t="shared" si="45"/>
        <v>69.16842312491832</v>
      </c>
      <c r="CG33" s="26">
        <f t="shared" si="46"/>
        <v>183.30991535335653</v>
      </c>
      <c r="CH33" s="5">
        <f t="shared" si="47"/>
        <v>100.244</v>
      </c>
      <c r="CJ33" s="27"/>
      <c r="CK33" s="15"/>
      <c r="CL33" s="27"/>
    </row>
    <row r="34" spans="1:90">
      <c r="A34" t="s">
        <v>74</v>
      </c>
      <c r="B34" t="s">
        <v>222</v>
      </c>
      <c r="C34" t="s">
        <v>7</v>
      </c>
      <c r="D34" t="s">
        <v>9</v>
      </c>
      <c r="E34" t="s">
        <v>231</v>
      </c>
      <c r="F34" s="9" t="s">
        <v>226</v>
      </c>
      <c r="G34" t="s">
        <v>75</v>
      </c>
      <c r="H34">
        <v>39.250183999999997</v>
      </c>
      <c r="I34">
        <v>-76.500609999999995</v>
      </c>
      <c r="J34" t="s">
        <v>47</v>
      </c>
      <c r="K34" t="s">
        <v>11</v>
      </c>
      <c r="L34" t="s">
        <v>11</v>
      </c>
      <c r="M34" s="9" t="s">
        <v>513</v>
      </c>
      <c r="N34">
        <v>0</v>
      </c>
      <c r="O34">
        <v>100</v>
      </c>
      <c r="P34">
        <v>6</v>
      </c>
      <c r="Q34">
        <v>59</v>
      </c>
      <c r="R34" t="s">
        <v>520</v>
      </c>
      <c r="S34" s="9" t="s">
        <v>587</v>
      </c>
      <c r="T34" s="22">
        <v>0.5</v>
      </c>
      <c r="U34" s="22">
        <v>2.1</v>
      </c>
      <c r="V34" s="22">
        <v>6.4</v>
      </c>
      <c r="W34" s="22">
        <v>12.1</v>
      </c>
      <c r="X34" s="22">
        <v>17.2</v>
      </c>
      <c r="Y34" s="22">
        <v>22.4</v>
      </c>
      <c r="Z34" s="22">
        <v>25</v>
      </c>
      <c r="AA34" s="22">
        <v>23.9</v>
      </c>
      <c r="AB34" s="22">
        <v>19.899999999999999</v>
      </c>
      <c r="AC34" s="22">
        <v>13.4</v>
      </c>
      <c r="AD34" s="22">
        <v>8.1</v>
      </c>
      <c r="AE34" s="22">
        <v>2.6</v>
      </c>
      <c r="AF34" s="24">
        <f t="shared" ref="AF34:AF66" si="50">IF(F34="Cool",5.5,7)</f>
        <v>5.5</v>
      </c>
      <c r="AG34" s="24">
        <f t="shared" ref="AG34:AG66" si="51">IF(F34="Cool",20,31)</f>
        <v>20</v>
      </c>
      <c r="AH34" s="25">
        <f t="shared" ref="AH34:AH66" si="52">EXP(-0.5*((T34-$AG34)/$AF34)^2)</f>
        <v>1.8638259026584011E-3</v>
      </c>
      <c r="AI34" s="25">
        <f t="shared" ref="AI34:AI66" si="53">EXP(-0.5*((U34-$AG34)/$AF34)^2)</f>
        <v>5.0114345985882817E-3</v>
      </c>
      <c r="AJ34" s="25">
        <f t="shared" ref="AJ34:AJ66" si="54">EXP(-0.5*((V34-$AG34)/$AF34)^2)</f>
        <v>4.7019631046114591E-2</v>
      </c>
      <c r="AK34" s="25">
        <f t="shared" ref="AK34:AK66" si="55">EXP(-0.5*((W34-$AG34)/$AF34)^2)</f>
        <v>0.35644681102885617</v>
      </c>
      <c r="AL34" s="25">
        <f t="shared" ref="AL34:AL66" si="56">EXP(-0.5*((X34-$AG34)/$AF34)^2)</f>
        <v>0.87845835525138294</v>
      </c>
      <c r="AM34" s="25">
        <f t="shared" ref="AM34:AM66" si="57">EXP(-0.5*((Y34-$AG34)/$AF34)^2)</f>
        <v>0.90918506690677436</v>
      </c>
      <c r="AN34" s="25">
        <f t="shared" ref="AN34:AN66" si="58">EXP(-0.5*((Z34-$AG34)/$AF34)^2)</f>
        <v>0.66151465564937462</v>
      </c>
      <c r="AO34" s="25">
        <f t="shared" ref="AO34:AO66" si="59">EXP(-0.5*((AA34-$AG34)/$AF34)^2)</f>
        <v>0.77770736843409005</v>
      </c>
      <c r="AP34" s="25">
        <f t="shared" ref="AP34:AP66" si="60">EXP(-0.5*((AB34-$AG34)/$AF34)^2)</f>
        <v>0.99983472440331811</v>
      </c>
      <c r="AQ34" s="25">
        <f t="shared" ref="AQ34:AQ66" si="61">EXP(-0.5*((AC34-$AG34)/$AF34)^2)</f>
        <v>0.48675225595997168</v>
      </c>
      <c r="AR34" s="25">
        <f t="shared" ref="AR34:AR66" si="62">EXP(-0.5*((AD34-$AG34)/$AF34)^2)</f>
        <v>9.6263971584939392E-2</v>
      </c>
      <c r="AS34" s="25">
        <f t="shared" ref="AS34:AS66" si="63">EXP(-0.5*((AE34-$AG34)/$AF34)^2)</f>
        <v>6.7090526641138959E-3</v>
      </c>
      <c r="AT34">
        <v>1</v>
      </c>
      <c r="AU34" s="30">
        <f t="shared" si="48"/>
        <v>7</v>
      </c>
      <c r="AV34" s="31">
        <f t="shared" ref="AV34:AV66" si="64">ROUND(IF(AH34&gt;=0.75,$AU34,IF(AH34&gt;=0.5,$AU34/0.7,IF(AH34&gt;=0.2,$AU34/0.5,0))),2)</f>
        <v>0</v>
      </c>
      <c r="AW34" s="31">
        <f t="shared" ref="AW34:AW66" si="65">ROUND(IF(AI34&gt;=0.75,$AU34,IF(AI34&gt;=0.5,$AU34/0.7,IF(AI34&gt;=0.2,$AU34/0.5,0))),2)</f>
        <v>0</v>
      </c>
      <c r="AX34" s="31">
        <f t="shared" ref="AX34:AX66" si="66">ROUND(IF(AJ34&gt;=0.75,$AU34,IF(AJ34&gt;=0.5,$AU34/0.7,IF(AJ34&gt;=0.2,$AU34/0.5,0))),2)</f>
        <v>0</v>
      </c>
      <c r="AY34" s="31">
        <f t="shared" ref="AY34:AY66" si="67">ROUND(IF(AK34&gt;=0.75,$AU34,IF(AK34&gt;=0.5,$AU34/0.7,IF(AK34&gt;=0.2,$AU34/0.5,0))),2)</f>
        <v>14</v>
      </c>
      <c r="AZ34" s="31">
        <f t="shared" ref="AZ34:AZ66" si="68">ROUND(IF(AL34&gt;=0.75,$AU34,IF(AL34&gt;=0.5,$AU34/0.7,IF(AL34&gt;=0.2,$AU34/0.5,0))),2)</f>
        <v>7</v>
      </c>
      <c r="BA34" s="31">
        <f t="shared" ref="BA34:BA66" si="69">ROUND(IF(AM34&gt;=0.75,$AU34,IF(AM34&gt;=0.5,$AU34/0.7,IF(AM34&gt;=0.2,$AU34/0.5,0))),2)</f>
        <v>7</v>
      </c>
      <c r="BB34" s="31">
        <f t="shared" ref="BB34:BB66" si="70">ROUND(IF(AN34&gt;=0.75,$AU34,IF(AN34&gt;=0.5,$AU34/0.7,IF(AN34&gt;=0.2,$AU34/0.5,0))),2)</f>
        <v>10</v>
      </c>
      <c r="BC34" s="31">
        <f t="shared" ref="BC34:BC66" si="71">ROUND(IF(AO34&gt;=0.75,$AU34,IF(AO34&gt;=0.5,$AU34/0.7,IF(AO34&gt;=0.2,$AU34/0.5,0))),2)</f>
        <v>7</v>
      </c>
      <c r="BD34" s="31">
        <f t="shared" ref="BD34:BD66" si="72">ROUND(IF(AP34&gt;=0.75,$AU34,IF(AP34&gt;=0.5,$AU34/0.7,IF(AP34&gt;=0.2,$AU34/0.5,0))),2)</f>
        <v>7</v>
      </c>
      <c r="BE34" s="31">
        <f t="shared" ref="BE34:BE66" si="73">ROUND(IF(AQ34&gt;=0.75,$AU34,IF(AQ34&gt;=0.5,$AU34/0.7,IF(AQ34&gt;=0.2,$AU34/0.5,0))),2)</f>
        <v>14</v>
      </c>
      <c r="BF34" s="31">
        <f t="shared" ref="BF34:BF66" si="74">ROUND(IF(AR34&gt;=0.75,$AU34,IF(AR34&gt;=0.5,$AU34/0.7,IF(AR34&gt;=0.2,$AU34/0.5,0))),2)</f>
        <v>0</v>
      </c>
      <c r="BG34" s="31">
        <f t="shared" ref="BG34:BG66" si="75">ROUND(IF(AS34&gt;=0.75,$AU34,IF(AS34&gt;=0.5,$AU34/0.7,IF(AS34&gt;=0.2,$AU34/0.5,0))),2)</f>
        <v>0</v>
      </c>
      <c r="BH34">
        <f t="shared" ref="BH34:BH66" si="76">ROUND(IF(AV34&gt;0,31/AV34,0),0)</f>
        <v>0</v>
      </c>
      <c r="BI34">
        <f t="shared" ref="BI34:BI66" si="77">ROUND(IF(AW34&gt;0,28/AW34,0),0)</f>
        <v>0</v>
      </c>
      <c r="BJ34">
        <f t="shared" ref="BJ34:BJ66" si="78">ROUND(IF(AX34&gt;0,31/AX34,0),0)</f>
        <v>0</v>
      </c>
      <c r="BK34">
        <f t="shared" ref="BK34:BK66" si="79">ROUND(IF(AY34&gt;0,30/AY34,0),0)</f>
        <v>2</v>
      </c>
      <c r="BL34">
        <f t="shared" ref="BL34:BL66" si="80">ROUND(IF(AZ34&gt;0,31/AZ34,0),0)</f>
        <v>4</v>
      </c>
      <c r="BM34">
        <f t="shared" ref="BM34:BM66" si="81">ROUND(IF(BA34&gt;0,30/BA34,0),0)</f>
        <v>4</v>
      </c>
      <c r="BN34">
        <f t="shared" ref="BN34:BN66" si="82">ROUND(IF(BB34&gt;0,31/BB34,0),0)</f>
        <v>3</v>
      </c>
      <c r="BO34">
        <f t="shared" ref="BO34:BO66" si="83">ROUND(IF(BC34&gt;0,31/BC34,0),0)</f>
        <v>4</v>
      </c>
      <c r="BP34">
        <f t="shared" ref="BP34:BP66" si="84">ROUND(IF(BD34&gt;0,30/BD34,0),0)</f>
        <v>4</v>
      </c>
      <c r="BQ34">
        <f t="shared" ref="BQ34:BQ66" si="85">ROUND(IF(BE34&gt;0,31/BE34,0),0)</f>
        <v>2</v>
      </c>
      <c r="BR34">
        <f t="shared" ref="BR34:BR66" si="86">ROUND(IF(BF34&gt;0,30/BF34,0),0)</f>
        <v>0</v>
      </c>
      <c r="BS34">
        <f t="shared" ref="BS34:BS66" si="87">ROUND(IF(BG34&gt;0,31/BG34,0),0)</f>
        <v>0</v>
      </c>
      <c r="BT34" s="4">
        <f t="shared" ref="BT34:BT65" si="88">ROUND(SUM(BH34:BS34),0)</f>
        <v>23</v>
      </c>
      <c r="BU34" s="8" t="str">
        <f>LOOKUP(D34,'Mower Equipment EFs'!B$2:B$6,'Mower Equipment EFs'!A$2:A$6)</f>
        <v>Push Mower</v>
      </c>
      <c r="BV34" s="8">
        <f>LOOKUP(D34,'Mower Equipment EFs'!B$2:B$6,'Mower Equipment EFs'!H$2:H$6)</f>
        <v>15.88</v>
      </c>
      <c r="BW34">
        <f t="shared" ref="BW34:BW65" si="89">BV34/10*BT34</f>
        <v>36.524000000000001</v>
      </c>
      <c r="BX34">
        <f t="shared" si="49"/>
        <v>3.5</v>
      </c>
      <c r="BY34" s="35">
        <f t="shared" ref="BY34:BY65" si="90">BX34*SUM(AH34:AS34)</f>
        <v>18.293685037005638</v>
      </c>
      <c r="BZ34">
        <f t="shared" ref="BZ34:BZ65" si="91">0.01*BY34*(44/28)</f>
        <v>0.28747219343866004</v>
      </c>
      <c r="CA34">
        <v>0.23599999999999999</v>
      </c>
      <c r="CB34">
        <v>270</v>
      </c>
      <c r="CC34" s="5">
        <f t="shared" ref="CC34:CC65" si="92">CB34*BZ34</f>
        <v>77.617492228438209</v>
      </c>
      <c r="CD34" s="5">
        <f t="shared" ref="CD34:CD66" si="93">CA34*CB34</f>
        <v>63.72</v>
      </c>
      <c r="CE34" s="32">
        <v>3.7810000000000001</v>
      </c>
      <c r="CF34" s="5">
        <f t="shared" ref="CF34:CF65" si="94">CE34*BY34</f>
        <v>69.16842312491832</v>
      </c>
      <c r="CG34" s="26">
        <f t="shared" ref="CG34:CG65" si="95">CC34+BW34+CF34</f>
        <v>183.30991535335653</v>
      </c>
      <c r="CH34" s="5">
        <f t="shared" ref="CH34:CH66" si="96">BW34 +CD34</f>
        <v>100.244</v>
      </c>
      <c r="CJ34" s="27"/>
      <c r="CK34" s="15"/>
      <c r="CL34" s="27"/>
    </row>
    <row r="35" spans="1:90">
      <c r="A35" t="s">
        <v>191</v>
      </c>
      <c r="B35" t="s">
        <v>196</v>
      </c>
      <c r="C35" t="s">
        <v>7</v>
      </c>
      <c r="D35" t="s">
        <v>9</v>
      </c>
      <c r="E35" t="s">
        <v>210</v>
      </c>
      <c r="F35" t="s">
        <v>227</v>
      </c>
      <c r="G35" t="s">
        <v>55</v>
      </c>
      <c r="H35">
        <v>33.586230800000003</v>
      </c>
      <c r="I35">
        <v>-101.90239</v>
      </c>
      <c r="J35" t="s">
        <v>44</v>
      </c>
      <c r="K35" t="s">
        <v>27</v>
      </c>
      <c r="L35" t="s">
        <v>443</v>
      </c>
      <c r="M35" s="9" t="s">
        <v>517</v>
      </c>
      <c r="N35">
        <v>0</v>
      </c>
      <c r="O35">
        <v>10</v>
      </c>
      <c r="P35">
        <v>0</v>
      </c>
      <c r="Q35">
        <v>63</v>
      </c>
      <c r="R35" t="s">
        <v>493</v>
      </c>
      <c r="S35" s="9" t="s">
        <v>554</v>
      </c>
      <c r="T35" s="22">
        <v>4.4000000000000004</v>
      </c>
      <c r="U35" s="22">
        <v>6.9</v>
      </c>
      <c r="V35" s="22">
        <v>10.4</v>
      </c>
      <c r="W35" s="22">
        <v>15.6</v>
      </c>
      <c r="X35" s="22">
        <v>20.2</v>
      </c>
      <c r="Y35" s="22">
        <v>24.8</v>
      </c>
      <c r="Z35" s="22">
        <v>26.2</v>
      </c>
      <c r="AA35" s="22">
        <v>25.7</v>
      </c>
      <c r="AB35" s="22">
        <v>21.9</v>
      </c>
      <c r="AC35" s="22">
        <v>16.399999999999999</v>
      </c>
      <c r="AD35" s="22">
        <v>9.5</v>
      </c>
      <c r="AE35" s="22">
        <v>5.3</v>
      </c>
      <c r="AF35" s="24">
        <f t="shared" si="50"/>
        <v>7</v>
      </c>
      <c r="AG35" s="24">
        <f t="shared" si="51"/>
        <v>31</v>
      </c>
      <c r="AH35" s="25">
        <f t="shared" si="52"/>
        <v>7.3180241888047212E-4</v>
      </c>
      <c r="AI35" s="25">
        <f t="shared" si="53"/>
        <v>2.667449109192603E-3</v>
      </c>
      <c r="AJ35" s="25">
        <f t="shared" si="54"/>
        <v>1.3164860509680932E-2</v>
      </c>
      <c r="AK35" s="25">
        <f t="shared" si="55"/>
        <v>8.8921617459386301E-2</v>
      </c>
      <c r="AL35" s="25">
        <f t="shared" si="56"/>
        <v>0.30415918442931789</v>
      </c>
      <c r="AM35" s="25">
        <f t="shared" si="57"/>
        <v>0.67553865566313176</v>
      </c>
      <c r="AN35" s="25">
        <f t="shared" si="58"/>
        <v>0.79049018324957698</v>
      </c>
      <c r="AO35" s="25">
        <f t="shared" si="59"/>
        <v>0.75078747766781484</v>
      </c>
      <c r="AP35" s="25">
        <f t="shared" si="60"/>
        <v>0.42955735821073904</v>
      </c>
      <c r="AQ35" s="25">
        <f t="shared" si="61"/>
        <v>0.11359656159346439</v>
      </c>
      <c r="AR35" s="25">
        <f t="shared" si="62"/>
        <v>8.9434242742491565E-3</v>
      </c>
      <c r="AS35" s="25">
        <f t="shared" si="63"/>
        <v>1.1830092468785866E-3</v>
      </c>
      <c r="AT35">
        <v>1</v>
      </c>
      <c r="AU35" s="30">
        <f t="shared" si="48"/>
        <v>7</v>
      </c>
      <c r="AV35" s="31">
        <f t="shared" si="64"/>
        <v>0</v>
      </c>
      <c r="AW35" s="31">
        <f t="shared" si="65"/>
        <v>0</v>
      </c>
      <c r="AX35" s="31">
        <f t="shared" si="66"/>
        <v>0</v>
      </c>
      <c r="AY35" s="31">
        <f t="shared" si="67"/>
        <v>0</v>
      </c>
      <c r="AZ35" s="31">
        <f t="shared" si="68"/>
        <v>14</v>
      </c>
      <c r="BA35" s="31">
        <f t="shared" si="69"/>
        <v>10</v>
      </c>
      <c r="BB35" s="31">
        <f t="shared" si="70"/>
        <v>7</v>
      </c>
      <c r="BC35" s="31">
        <f t="shared" si="71"/>
        <v>7</v>
      </c>
      <c r="BD35" s="31">
        <f t="shared" si="72"/>
        <v>14</v>
      </c>
      <c r="BE35" s="31">
        <f t="shared" si="73"/>
        <v>0</v>
      </c>
      <c r="BF35" s="31">
        <f t="shared" si="74"/>
        <v>0</v>
      </c>
      <c r="BG35" s="31">
        <f t="shared" si="75"/>
        <v>0</v>
      </c>
      <c r="BH35">
        <f t="shared" si="76"/>
        <v>0</v>
      </c>
      <c r="BI35">
        <f t="shared" si="77"/>
        <v>0</v>
      </c>
      <c r="BJ35">
        <f t="shared" si="78"/>
        <v>0</v>
      </c>
      <c r="BK35">
        <f t="shared" si="79"/>
        <v>0</v>
      </c>
      <c r="BL35">
        <f t="shared" si="80"/>
        <v>2</v>
      </c>
      <c r="BM35">
        <f t="shared" si="81"/>
        <v>3</v>
      </c>
      <c r="BN35">
        <f t="shared" si="82"/>
        <v>4</v>
      </c>
      <c r="BO35">
        <f t="shared" si="83"/>
        <v>4</v>
      </c>
      <c r="BP35">
        <f t="shared" si="84"/>
        <v>2</v>
      </c>
      <c r="BQ35">
        <f t="shared" si="85"/>
        <v>0</v>
      </c>
      <c r="BR35">
        <f t="shared" si="86"/>
        <v>0</v>
      </c>
      <c r="BS35">
        <f t="shared" si="87"/>
        <v>0</v>
      </c>
      <c r="BT35" s="4">
        <f t="shared" si="88"/>
        <v>15</v>
      </c>
      <c r="BU35" s="8" t="str">
        <f>LOOKUP(D35,'Mower Equipment EFs'!B$2:B$6,'Mower Equipment EFs'!A$2:A$6)</f>
        <v>Push Mower</v>
      </c>
      <c r="BV35" s="8">
        <f>LOOKUP(D35,'Mower Equipment EFs'!B$2:B$6,'Mower Equipment EFs'!H$2:H$6)</f>
        <v>15.88</v>
      </c>
      <c r="BW35">
        <f t="shared" si="89"/>
        <v>23.82</v>
      </c>
      <c r="BX35">
        <f t="shared" si="49"/>
        <v>4</v>
      </c>
      <c r="BY35" s="35">
        <f t="shared" si="90"/>
        <v>12.718966335329251</v>
      </c>
      <c r="BZ35">
        <f t="shared" si="91"/>
        <v>0.19986947098374538</v>
      </c>
      <c r="CA35">
        <v>0.23599999999999999</v>
      </c>
      <c r="CB35">
        <v>270</v>
      </c>
      <c r="CC35" s="5">
        <f t="shared" si="92"/>
        <v>53.964757165611253</v>
      </c>
      <c r="CD35" s="5">
        <f t="shared" si="93"/>
        <v>63.72</v>
      </c>
      <c r="CE35" s="32">
        <v>3.7810000000000001</v>
      </c>
      <c r="CF35" s="5">
        <f t="shared" si="94"/>
        <v>48.090411713879895</v>
      </c>
      <c r="CG35" s="26">
        <f t="shared" si="95"/>
        <v>125.87516887949116</v>
      </c>
      <c r="CH35" s="5">
        <f t="shared" si="96"/>
        <v>87.539999999999992</v>
      </c>
      <c r="CJ35" s="27"/>
      <c r="CK35" s="15"/>
      <c r="CL35" s="27"/>
    </row>
    <row r="36" spans="1:90">
      <c r="A36" t="s">
        <v>77</v>
      </c>
      <c r="B36" t="s">
        <v>167</v>
      </c>
      <c r="C36" t="s">
        <v>7</v>
      </c>
      <c r="D36" t="s">
        <v>8</v>
      </c>
      <c r="E36" t="s">
        <v>231</v>
      </c>
      <c r="F36" s="9" t="s">
        <v>226</v>
      </c>
      <c r="G36" t="s">
        <v>79</v>
      </c>
      <c r="H36">
        <v>39.884551999999999</v>
      </c>
      <c r="I36">
        <v>-83.157804999999996</v>
      </c>
      <c r="J36" t="s">
        <v>46</v>
      </c>
      <c r="K36" t="s">
        <v>447</v>
      </c>
      <c r="L36" t="s">
        <v>512</v>
      </c>
      <c r="M36" s="9" t="s">
        <v>517</v>
      </c>
      <c r="N36">
        <v>0</v>
      </c>
      <c r="O36">
        <v>15</v>
      </c>
      <c r="P36">
        <v>0</v>
      </c>
      <c r="Q36">
        <v>97</v>
      </c>
      <c r="R36" t="s">
        <v>317</v>
      </c>
      <c r="S36" s="9" t="s">
        <v>553</v>
      </c>
      <c r="T36" s="22">
        <v>-1</v>
      </c>
      <c r="U36" s="22">
        <v>0.3</v>
      </c>
      <c r="V36" s="22">
        <v>4.8</v>
      </c>
      <c r="W36" s="22">
        <v>11.5</v>
      </c>
      <c r="X36" s="22">
        <v>17.399999999999999</v>
      </c>
      <c r="Y36" s="22">
        <v>22.5</v>
      </c>
      <c r="Z36" s="22">
        <v>24.4</v>
      </c>
      <c r="AA36" s="22">
        <v>23.4</v>
      </c>
      <c r="AB36" s="22">
        <v>19.8</v>
      </c>
      <c r="AC36" s="22">
        <v>13.7</v>
      </c>
      <c r="AD36" s="22">
        <v>6.4</v>
      </c>
      <c r="AE36" s="22">
        <v>0.9</v>
      </c>
      <c r="AF36" s="24">
        <f t="shared" si="50"/>
        <v>5.5</v>
      </c>
      <c r="AG36" s="24">
        <f t="shared" si="51"/>
        <v>20</v>
      </c>
      <c r="AH36" s="25">
        <f t="shared" si="52"/>
        <v>6.8283575828252891E-4</v>
      </c>
      <c r="AI36" s="25">
        <f t="shared" si="53"/>
        <v>1.6372934369242257E-3</v>
      </c>
      <c r="AJ36" s="25">
        <f t="shared" si="54"/>
        <v>2.195318658666652E-2</v>
      </c>
      <c r="AK36" s="25">
        <f t="shared" si="55"/>
        <v>0.3029417076322124</v>
      </c>
      <c r="AL36" s="25">
        <f t="shared" si="56"/>
        <v>0.89428073022462851</v>
      </c>
      <c r="AM36" s="25">
        <f t="shared" si="57"/>
        <v>0.90185115864528265</v>
      </c>
      <c r="AN36" s="25">
        <f t="shared" si="58"/>
        <v>0.72614903707369105</v>
      </c>
      <c r="AO36" s="25">
        <f t="shared" si="59"/>
        <v>0.82607114255793146</v>
      </c>
      <c r="AP36" s="25">
        <f t="shared" si="60"/>
        <v>0.99933906149135188</v>
      </c>
      <c r="AQ36" s="25">
        <f t="shared" si="61"/>
        <v>0.51890572596710505</v>
      </c>
      <c r="AR36" s="25">
        <f t="shared" si="62"/>
        <v>4.7019631046114591E-2</v>
      </c>
      <c r="AS36" s="25">
        <f t="shared" si="63"/>
        <v>2.4056927879899156E-3</v>
      </c>
      <c r="AT36">
        <v>2</v>
      </c>
      <c r="AU36" s="30">
        <f t="shared" si="48"/>
        <v>3.5</v>
      </c>
      <c r="AV36" s="31">
        <f t="shared" si="64"/>
        <v>0</v>
      </c>
      <c r="AW36" s="31">
        <f t="shared" si="65"/>
        <v>0</v>
      </c>
      <c r="AX36" s="31">
        <f t="shared" si="66"/>
        <v>0</v>
      </c>
      <c r="AY36" s="31">
        <f t="shared" si="67"/>
        <v>7</v>
      </c>
      <c r="AZ36" s="31">
        <f t="shared" si="68"/>
        <v>3.5</v>
      </c>
      <c r="BA36" s="31">
        <f t="shared" si="69"/>
        <v>3.5</v>
      </c>
      <c r="BB36" s="31">
        <f t="shared" si="70"/>
        <v>5</v>
      </c>
      <c r="BC36" s="31">
        <f t="shared" si="71"/>
        <v>3.5</v>
      </c>
      <c r="BD36" s="31">
        <f t="shared" si="72"/>
        <v>3.5</v>
      </c>
      <c r="BE36" s="31">
        <f t="shared" si="73"/>
        <v>5</v>
      </c>
      <c r="BF36" s="31">
        <f t="shared" si="74"/>
        <v>0</v>
      </c>
      <c r="BG36" s="31">
        <f t="shared" si="75"/>
        <v>0</v>
      </c>
      <c r="BH36">
        <f t="shared" si="76"/>
        <v>0</v>
      </c>
      <c r="BI36">
        <f t="shared" si="77"/>
        <v>0</v>
      </c>
      <c r="BJ36">
        <f t="shared" si="78"/>
        <v>0</v>
      </c>
      <c r="BK36">
        <f t="shared" si="79"/>
        <v>4</v>
      </c>
      <c r="BL36">
        <f t="shared" si="80"/>
        <v>9</v>
      </c>
      <c r="BM36">
        <f t="shared" si="81"/>
        <v>9</v>
      </c>
      <c r="BN36">
        <f t="shared" si="82"/>
        <v>6</v>
      </c>
      <c r="BO36">
        <f t="shared" si="83"/>
        <v>9</v>
      </c>
      <c r="BP36">
        <f t="shared" si="84"/>
        <v>9</v>
      </c>
      <c r="BQ36">
        <f t="shared" si="85"/>
        <v>6</v>
      </c>
      <c r="BR36">
        <f t="shared" si="86"/>
        <v>0</v>
      </c>
      <c r="BS36">
        <f t="shared" si="87"/>
        <v>0</v>
      </c>
      <c r="BT36" s="4">
        <f t="shared" si="88"/>
        <v>52</v>
      </c>
      <c r="BU36" s="8" t="str">
        <f>LOOKUP(D36,'Mower Equipment EFs'!B$2:B$6,'Mower Equipment EFs'!A$2:A$6)</f>
        <v>John Deere 7500A fairway mower</v>
      </c>
      <c r="BV36" s="8">
        <f>LOOKUP(D36,'Mower Equipment EFs'!B$2:B$6,'Mower Equipment EFs'!H$2:H$6)</f>
        <v>2.2621799999999999</v>
      </c>
      <c r="BW36">
        <f t="shared" si="89"/>
        <v>11.763335999999999</v>
      </c>
      <c r="BX36">
        <f t="shared" si="49"/>
        <v>3.5</v>
      </c>
      <c r="BY36" s="35">
        <f t="shared" si="90"/>
        <v>18.351330211228632</v>
      </c>
      <c r="BZ36">
        <f t="shared" si="91"/>
        <v>0.28837804617644991</v>
      </c>
      <c r="CA36">
        <v>0.23599999999999999</v>
      </c>
      <c r="CB36">
        <v>270</v>
      </c>
      <c r="CC36" s="5">
        <f t="shared" si="92"/>
        <v>77.862072467641482</v>
      </c>
      <c r="CD36" s="5">
        <f t="shared" si="93"/>
        <v>63.72</v>
      </c>
      <c r="CE36" s="32">
        <v>3.7810000000000001</v>
      </c>
      <c r="CF36" s="5">
        <f t="shared" si="94"/>
        <v>69.386379528655453</v>
      </c>
      <c r="CG36" s="26">
        <f t="shared" si="95"/>
        <v>159.01178799629693</v>
      </c>
      <c r="CH36" s="5">
        <f t="shared" si="96"/>
        <v>75.483335999999994</v>
      </c>
      <c r="CJ36" s="27"/>
      <c r="CK36" s="15"/>
      <c r="CL36" s="27"/>
    </row>
    <row r="37" spans="1:90">
      <c r="A37" t="s">
        <v>77</v>
      </c>
      <c r="B37" t="s">
        <v>168</v>
      </c>
      <c r="C37" t="s">
        <v>7</v>
      </c>
      <c r="D37" t="s">
        <v>78</v>
      </c>
      <c r="E37" s="9" t="s">
        <v>231</v>
      </c>
      <c r="F37" s="9" t="s">
        <v>226</v>
      </c>
      <c r="G37" t="s">
        <v>79</v>
      </c>
      <c r="H37">
        <v>39.884551999999999</v>
      </c>
      <c r="I37">
        <v>-83.157804999999996</v>
      </c>
      <c r="J37" t="s">
        <v>46</v>
      </c>
      <c r="K37" t="s">
        <v>447</v>
      </c>
      <c r="L37" t="s">
        <v>512</v>
      </c>
      <c r="M37" s="9" t="s">
        <v>517</v>
      </c>
      <c r="N37">
        <v>0</v>
      </c>
      <c r="O37">
        <v>15</v>
      </c>
      <c r="P37">
        <v>0</v>
      </c>
      <c r="Q37">
        <v>97</v>
      </c>
      <c r="R37" t="s">
        <v>324</v>
      </c>
      <c r="S37" s="9" t="s">
        <v>555</v>
      </c>
      <c r="T37" s="22">
        <v>-1</v>
      </c>
      <c r="U37" s="22">
        <v>0.3</v>
      </c>
      <c r="V37" s="22">
        <v>4.8</v>
      </c>
      <c r="W37" s="22">
        <v>11.5</v>
      </c>
      <c r="X37" s="22">
        <v>17.399999999999999</v>
      </c>
      <c r="Y37" s="22">
        <v>22.5</v>
      </c>
      <c r="Z37" s="22">
        <v>24.4</v>
      </c>
      <c r="AA37" s="22">
        <v>23.4</v>
      </c>
      <c r="AB37" s="22">
        <v>19.8</v>
      </c>
      <c r="AC37" s="22">
        <v>13.7</v>
      </c>
      <c r="AD37" s="22">
        <v>6.4</v>
      </c>
      <c r="AE37" s="22">
        <v>0.9</v>
      </c>
      <c r="AF37" s="24">
        <f t="shared" si="50"/>
        <v>5.5</v>
      </c>
      <c r="AG37" s="24">
        <f t="shared" si="51"/>
        <v>20</v>
      </c>
      <c r="AH37" s="25">
        <f t="shared" si="52"/>
        <v>6.8283575828252891E-4</v>
      </c>
      <c r="AI37" s="25">
        <f t="shared" si="53"/>
        <v>1.6372934369242257E-3</v>
      </c>
      <c r="AJ37" s="25">
        <f t="shared" si="54"/>
        <v>2.195318658666652E-2</v>
      </c>
      <c r="AK37" s="25">
        <f t="shared" si="55"/>
        <v>0.3029417076322124</v>
      </c>
      <c r="AL37" s="25">
        <f t="shared" si="56"/>
        <v>0.89428073022462851</v>
      </c>
      <c r="AM37" s="25">
        <f t="shared" si="57"/>
        <v>0.90185115864528265</v>
      </c>
      <c r="AN37" s="25">
        <f t="shared" si="58"/>
        <v>0.72614903707369105</v>
      </c>
      <c r="AO37" s="25">
        <f t="shared" si="59"/>
        <v>0.82607114255793146</v>
      </c>
      <c r="AP37" s="25">
        <f t="shared" si="60"/>
        <v>0.99933906149135188</v>
      </c>
      <c r="AQ37" s="25">
        <f t="shared" si="61"/>
        <v>0.51890572596710505</v>
      </c>
      <c r="AR37" s="25">
        <f t="shared" si="62"/>
        <v>4.7019631046114591E-2</v>
      </c>
      <c r="AS37" s="25">
        <f t="shared" si="63"/>
        <v>2.4056927879899156E-3</v>
      </c>
      <c r="AT37">
        <v>1</v>
      </c>
      <c r="AU37" s="30">
        <f t="shared" si="48"/>
        <v>7</v>
      </c>
      <c r="AV37" s="31">
        <f t="shared" si="64"/>
        <v>0</v>
      </c>
      <c r="AW37" s="31">
        <f t="shared" si="65"/>
        <v>0</v>
      </c>
      <c r="AX37" s="31">
        <f t="shared" si="66"/>
        <v>0</v>
      </c>
      <c r="AY37" s="31">
        <f t="shared" si="67"/>
        <v>14</v>
      </c>
      <c r="AZ37" s="31">
        <f t="shared" si="68"/>
        <v>7</v>
      </c>
      <c r="BA37" s="31">
        <f t="shared" si="69"/>
        <v>7</v>
      </c>
      <c r="BB37" s="31">
        <f t="shared" si="70"/>
        <v>10</v>
      </c>
      <c r="BC37" s="31">
        <f t="shared" si="71"/>
        <v>7</v>
      </c>
      <c r="BD37" s="31">
        <f t="shared" si="72"/>
        <v>7</v>
      </c>
      <c r="BE37" s="31">
        <f t="shared" si="73"/>
        <v>10</v>
      </c>
      <c r="BF37" s="31">
        <f t="shared" si="74"/>
        <v>0</v>
      </c>
      <c r="BG37" s="31">
        <f t="shared" si="75"/>
        <v>0</v>
      </c>
      <c r="BH37">
        <f t="shared" si="76"/>
        <v>0</v>
      </c>
      <c r="BI37">
        <f t="shared" si="77"/>
        <v>0</v>
      </c>
      <c r="BJ37">
        <f t="shared" si="78"/>
        <v>0</v>
      </c>
      <c r="BK37">
        <f t="shared" si="79"/>
        <v>2</v>
      </c>
      <c r="BL37">
        <f t="shared" si="80"/>
        <v>4</v>
      </c>
      <c r="BM37">
        <f t="shared" si="81"/>
        <v>4</v>
      </c>
      <c r="BN37">
        <f t="shared" si="82"/>
        <v>3</v>
      </c>
      <c r="BO37">
        <f t="shared" si="83"/>
        <v>4</v>
      </c>
      <c r="BP37">
        <f t="shared" si="84"/>
        <v>4</v>
      </c>
      <c r="BQ37">
        <f t="shared" si="85"/>
        <v>3</v>
      </c>
      <c r="BR37">
        <f t="shared" si="86"/>
        <v>0</v>
      </c>
      <c r="BS37">
        <f t="shared" si="87"/>
        <v>0</v>
      </c>
      <c r="BT37" s="4">
        <f t="shared" si="88"/>
        <v>24</v>
      </c>
      <c r="BU37" s="8" t="str">
        <f>LOOKUP(D37,'Mower Equipment EFs'!B$2:B$6,'Mower Equipment EFs'!A$2:A$6)</f>
        <v>Jacobsen Eclipse 322 hybrid gasoline reel mower</v>
      </c>
      <c r="BV37" s="8">
        <f>LOOKUP(D37,'Mower Equipment EFs'!B$2:B$6,'Mower Equipment EFs'!H$2:H$6)</f>
        <v>3.1995</v>
      </c>
      <c r="BW37">
        <f t="shared" si="89"/>
        <v>7.6788000000000007</v>
      </c>
      <c r="BX37">
        <f t="shared" si="49"/>
        <v>3.5</v>
      </c>
      <c r="BY37" s="35">
        <f t="shared" si="90"/>
        <v>18.351330211228632</v>
      </c>
      <c r="BZ37">
        <f t="shared" si="91"/>
        <v>0.28837804617644991</v>
      </c>
      <c r="CA37">
        <v>0.23599999999999999</v>
      </c>
      <c r="CB37">
        <v>270</v>
      </c>
      <c r="CC37" s="5">
        <f t="shared" si="92"/>
        <v>77.862072467641482</v>
      </c>
      <c r="CD37" s="5">
        <f t="shared" si="93"/>
        <v>63.72</v>
      </c>
      <c r="CE37" s="32">
        <v>3.7810000000000001</v>
      </c>
      <c r="CF37" s="5">
        <f t="shared" si="94"/>
        <v>69.386379528655453</v>
      </c>
      <c r="CG37" s="26">
        <f t="shared" si="95"/>
        <v>154.92725199629695</v>
      </c>
      <c r="CH37" s="5">
        <f t="shared" si="96"/>
        <v>71.398799999999994</v>
      </c>
      <c r="CJ37" s="27"/>
      <c r="CK37" s="15"/>
      <c r="CL37" s="27"/>
    </row>
    <row r="38" spans="1:90">
      <c r="A38" t="s">
        <v>14</v>
      </c>
      <c r="B38" t="s">
        <v>164</v>
      </c>
      <c r="C38" t="s">
        <v>7</v>
      </c>
      <c r="D38" t="s">
        <v>9</v>
      </c>
      <c r="E38" t="s">
        <v>210</v>
      </c>
      <c r="F38" t="s">
        <v>226</v>
      </c>
      <c r="G38" t="s">
        <v>81</v>
      </c>
      <c r="H38">
        <v>35.077272112835502</v>
      </c>
      <c r="I38">
        <v>-106.607139391583</v>
      </c>
      <c r="J38" t="s">
        <v>49</v>
      </c>
      <c r="K38" t="s">
        <v>50</v>
      </c>
      <c r="L38" t="s">
        <v>444</v>
      </c>
      <c r="M38" s="9" t="s">
        <v>514</v>
      </c>
      <c r="N38">
        <v>0</v>
      </c>
      <c r="O38">
        <v>15</v>
      </c>
      <c r="P38">
        <v>0</v>
      </c>
      <c r="Q38">
        <v>83</v>
      </c>
      <c r="R38" t="s">
        <v>329</v>
      </c>
      <c r="S38" s="9" t="s">
        <v>556</v>
      </c>
      <c r="T38" s="22">
        <v>1.8</v>
      </c>
      <c r="U38" s="22">
        <v>4.7</v>
      </c>
      <c r="V38" s="22">
        <v>8.3000000000000007</v>
      </c>
      <c r="W38" s="22">
        <v>13</v>
      </c>
      <c r="X38" s="22">
        <v>18.2</v>
      </c>
      <c r="Y38" s="22">
        <v>23.6</v>
      </c>
      <c r="Z38" s="22">
        <v>25.7</v>
      </c>
      <c r="AA38" s="22">
        <v>24.4</v>
      </c>
      <c r="AB38" s="22">
        <v>20.7</v>
      </c>
      <c r="AC38" s="22">
        <v>14.2</v>
      </c>
      <c r="AD38" s="22">
        <v>6.8</v>
      </c>
      <c r="AE38" s="22">
        <v>2.2999999999999998</v>
      </c>
      <c r="AF38" s="24">
        <f t="shared" si="50"/>
        <v>5.5</v>
      </c>
      <c r="AG38" s="24">
        <f t="shared" si="51"/>
        <v>20</v>
      </c>
      <c r="AH38" s="25">
        <f t="shared" si="52"/>
        <v>4.1900554036219265E-3</v>
      </c>
      <c r="AI38" s="25">
        <f t="shared" si="53"/>
        <v>2.0873889686152176E-2</v>
      </c>
      <c r="AJ38" s="25">
        <f t="shared" si="54"/>
        <v>0.10407488112580322</v>
      </c>
      <c r="AK38" s="25">
        <f t="shared" si="55"/>
        <v>0.44489483287164316</v>
      </c>
      <c r="AL38" s="25">
        <f t="shared" si="56"/>
        <v>0.94785502180440107</v>
      </c>
      <c r="AM38" s="25">
        <f t="shared" si="57"/>
        <v>0.80717492384140466</v>
      </c>
      <c r="AN38" s="25">
        <f t="shared" si="58"/>
        <v>0.58448463058845879</v>
      </c>
      <c r="AO38" s="25">
        <f t="shared" si="59"/>
        <v>0.72614903707369105</v>
      </c>
      <c r="AP38" s="25">
        <f t="shared" si="60"/>
        <v>0.99193353638501458</v>
      </c>
      <c r="AQ38" s="25">
        <f t="shared" si="61"/>
        <v>0.57347951756177595</v>
      </c>
      <c r="AR38" s="25">
        <f t="shared" si="62"/>
        <v>5.6134762834133725E-2</v>
      </c>
      <c r="AS38" s="25">
        <f t="shared" si="63"/>
        <v>5.6373165965910082E-3</v>
      </c>
      <c r="AT38">
        <v>1</v>
      </c>
      <c r="AU38" s="30">
        <f t="shared" si="48"/>
        <v>7</v>
      </c>
      <c r="AV38" s="31">
        <f t="shared" si="64"/>
        <v>0</v>
      </c>
      <c r="AW38" s="31">
        <f t="shared" si="65"/>
        <v>0</v>
      </c>
      <c r="AX38" s="31">
        <f t="shared" si="66"/>
        <v>0</v>
      </c>
      <c r="AY38" s="31">
        <f t="shared" si="67"/>
        <v>14</v>
      </c>
      <c r="AZ38" s="31">
        <f t="shared" si="68"/>
        <v>7</v>
      </c>
      <c r="BA38" s="31">
        <f t="shared" si="69"/>
        <v>7</v>
      </c>
      <c r="BB38" s="31">
        <f t="shared" si="70"/>
        <v>10</v>
      </c>
      <c r="BC38" s="31">
        <f t="shared" si="71"/>
        <v>10</v>
      </c>
      <c r="BD38" s="31">
        <f t="shared" si="72"/>
        <v>7</v>
      </c>
      <c r="BE38" s="31">
        <f t="shared" si="73"/>
        <v>10</v>
      </c>
      <c r="BF38" s="31">
        <f t="shared" si="74"/>
        <v>0</v>
      </c>
      <c r="BG38" s="31">
        <f t="shared" si="75"/>
        <v>0</v>
      </c>
      <c r="BH38">
        <f t="shared" si="76"/>
        <v>0</v>
      </c>
      <c r="BI38">
        <f t="shared" si="77"/>
        <v>0</v>
      </c>
      <c r="BJ38">
        <f t="shared" si="78"/>
        <v>0</v>
      </c>
      <c r="BK38">
        <f t="shared" si="79"/>
        <v>2</v>
      </c>
      <c r="BL38">
        <f t="shared" si="80"/>
        <v>4</v>
      </c>
      <c r="BM38">
        <f t="shared" si="81"/>
        <v>4</v>
      </c>
      <c r="BN38">
        <f t="shared" si="82"/>
        <v>3</v>
      </c>
      <c r="BO38">
        <f t="shared" si="83"/>
        <v>3</v>
      </c>
      <c r="BP38">
        <f t="shared" si="84"/>
        <v>4</v>
      </c>
      <c r="BQ38">
        <f t="shared" si="85"/>
        <v>3</v>
      </c>
      <c r="BR38">
        <f t="shared" si="86"/>
        <v>0</v>
      </c>
      <c r="BS38">
        <f t="shared" si="87"/>
        <v>0</v>
      </c>
      <c r="BT38" s="4">
        <f t="shared" si="88"/>
        <v>23</v>
      </c>
      <c r="BU38" s="8" t="str">
        <f>LOOKUP(D38,'Mower Equipment EFs'!B$2:B$6,'Mower Equipment EFs'!A$2:A$6)</f>
        <v>Push Mower</v>
      </c>
      <c r="BV38" s="8">
        <f>LOOKUP(D38,'Mower Equipment EFs'!B$2:B$6,'Mower Equipment EFs'!H$2:H$6)</f>
        <v>15.88</v>
      </c>
      <c r="BW38">
        <f t="shared" si="89"/>
        <v>36.524000000000001</v>
      </c>
      <c r="BX38">
        <f t="shared" si="49"/>
        <v>3.5</v>
      </c>
      <c r="BY38" s="35">
        <f t="shared" si="90"/>
        <v>18.434088420204418</v>
      </c>
      <c r="BZ38">
        <f t="shared" si="91"/>
        <v>0.28967853231749796</v>
      </c>
      <c r="CA38">
        <v>0.23599999999999999</v>
      </c>
      <c r="CB38">
        <v>270</v>
      </c>
      <c r="CC38" s="5">
        <f t="shared" si="92"/>
        <v>78.213203725724455</v>
      </c>
      <c r="CD38" s="5">
        <f t="shared" si="93"/>
        <v>63.72</v>
      </c>
      <c r="CE38" s="32">
        <v>3.7810000000000001</v>
      </c>
      <c r="CF38" s="5">
        <f t="shared" si="94"/>
        <v>69.699288316792902</v>
      </c>
      <c r="CG38" s="26">
        <f t="shared" si="95"/>
        <v>184.43649204251736</v>
      </c>
      <c r="CH38" s="5">
        <f t="shared" si="96"/>
        <v>100.244</v>
      </c>
      <c r="CJ38" s="27"/>
      <c r="CK38" s="15"/>
      <c r="CL38" s="27"/>
    </row>
    <row r="39" spans="1:90">
      <c r="A39" t="s">
        <v>14</v>
      </c>
      <c r="B39" t="s">
        <v>179</v>
      </c>
      <c r="C39" t="s">
        <v>7</v>
      </c>
      <c r="D39" t="s">
        <v>9</v>
      </c>
      <c r="E39" t="s">
        <v>211</v>
      </c>
      <c r="F39" t="s">
        <v>227</v>
      </c>
      <c r="G39" t="s">
        <v>15</v>
      </c>
      <c r="H39">
        <v>33.793886911264103</v>
      </c>
      <c r="I39">
        <v>-84.447394418161807</v>
      </c>
      <c r="J39" t="s">
        <v>47</v>
      </c>
      <c r="K39" t="s">
        <v>11</v>
      </c>
      <c r="L39" t="s">
        <v>11</v>
      </c>
      <c r="M39" s="9" t="s">
        <v>513</v>
      </c>
      <c r="N39">
        <v>0</v>
      </c>
      <c r="O39">
        <v>15</v>
      </c>
      <c r="P39">
        <v>0</v>
      </c>
      <c r="Q39">
        <v>94</v>
      </c>
      <c r="R39" t="s">
        <v>339</v>
      </c>
      <c r="S39" s="9" t="s">
        <v>557</v>
      </c>
      <c r="T39" s="22">
        <v>6.3</v>
      </c>
      <c r="U39" s="22">
        <v>8.4</v>
      </c>
      <c r="V39" s="22">
        <v>12.4</v>
      </c>
      <c r="W39" s="22">
        <v>16.7</v>
      </c>
      <c r="X39" s="22">
        <v>21.2</v>
      </c>
      <c r="Y39" s="22">
        <v>25.2</v>
      </c>
      <c r="Z39" s="22">
        <v>26.8</v>
      </c>
      <c r="AA39" s="22">
        <v>26.3</v>
      </c>
      <c r="AB39" s="22">
        <v>23.1</v>
      </c>
      <c r="AC39" s="22">
        <v>17.399999999999999</v>
      </c>
      <c r="AD39" s="22">
        <v>12.2</v>
      </c>
      <c r="AE39" s="22">
        <v>7.4</v>
      </c>
      <c r="AF39" s="24">
        <f t="shared" si="50"/>
        <v>7</v>
      </c>
      <c r="AG39" s="24">
        <f t="shared" si="51"/>
        <v>31</v>
      </c>
      <c r="AH39" s="25">
        <f t="shared" si="52"/>
        <v>1.978516092934147E-3</v>
      </c>
      <c r="AI39" s="25">
        <f t="shared" si="53"/>
        <v>5.4516512491898936E-3</v>
      </c>
      <c r="AJ39" s="25">
        <f t="shared" si="54"/>
        <v>2.9298935882189115E-2</v>
      </c>
      <c r="AK39" s="25">
        <f t="shared" si="55"/>
        <v>0.12410433534917899</v>
      </c>
      <c r="AL39" s="25">
        <f t="shared" si="56"/>
        <v>0.37531109885139946</v>
      </c>
      <c r="AM39" s="25">
        <f t="shared" si="57"/>
        <v>0.70944996517052195</v>
      </c>
      <c r="AN39" s="25">
        <f t="shared" si="58"/>
        <v>0.83527021141127211</v>
      </c>
      <c r="AO39" s="25">
        <f t="shared" si="59"/>
        <v>0.79819036027838308</v>
      </c>
      <c r="AP39" s="25">
        <f t="shared" si="60"/>
        <v>0.52896303076730899</v>
      </c>
      <c r="AQ39" s="25">
        <f t="shared" si="61"/>
        <v>0.15147314374213891</v>
      </c>
      <c r="AR39" s="25">
        <f t="shared" si="62"/>
        <v>2.7145863207889989E-2</v>
      </c>
      <c r="AS39" s="25">
        <f t="shared" si="63"/>
        <v>3.4024303083821229E-3</v>
      </c>
      <c r="AT39">
        <v>1</v>
      </c>
      <c r="AU39" s="30">
        <f t="shared" si="48"/>
        <v>7</v>
      </c>
      <c r="AV39" s="31">
        <f t="shared" si="64"/>
        <v>0</v>
      </c>
      <c r="AW39" s="31">
        <f t="shared" si="65"/>
        <v>0</v>
      </c>
      <c r="AX39" s="31">
        <f t="shared" si="66"/>
        <v>0</v>
      </c>
      <c r="AY39" s="31">
        <f t="shared" si="67"/>
        <v>0</v>
      </c>
      <c r="AZ39" s="31">
        <f t="shared" si="68"/>
        <v>14</v>
      </c>
      <c r="BA39" s="31">
        <f t="shared" si="69"/>
        <v>10</v>
      </c>
      <c r="BB39" s="31">
        <f t="shared" si="70"/>
        <v>7</v>
      </c>
      <c r="BC39" s="31">
        <f t="shared" si="71"/>
        <v>7</v>
      </c>
      <c r="BD39" s="31">
        <f t="shared" si="72"/>
        <v>10</v>
      </c>
      <c r="BE39" s="31">
        <f t="shared" si="73"/>
        <v>0</v>
      </c>
      <c r="BF39" s="31">
        <f t="shared" si="74"/>
        <v>0</v>
      </c>
      <c r="BG39" s="31">
        <f t="shared" si="75"/>
        <v>0</v>
      </c>
      <c r="BH39">
        <f t="shared" si="76"/>
        <v>0</v>
      </c>
      <c r="BI39">
        <f t="shared" si="77"/>
        <v>0</v>
      </c>
      <c r="BJ39">
        <f t="shared" si="78"/>
        <v>0</v>
      </c>
      <c r="BK39">
        <f t="shared" si="79"/>
        <v>0</v>
      </c>
      <c r="BL39">
        <f t="shared" si="80"/>
        <v>2</v>
      </c>
      <c r="BM39">
        <f t="shared" si="81"/>
        <v>3</v>
      </c>
      <c r="BN39">
        <f t="shared" si="82"/>
        <v>4</v>
      </c>
      <c r="BO39">
        <f t="shared" si="83"/>
        <v>4</v>
      </c>
      <c r="BP39">
        <f t="shared" si="84"/>
        <v>3</v>
      </c>
      <c r="BQ39">
        <f t="shared" si="85"/>
        <v>0</v>
      </c>
      <c r="BR39">
        <f t="shared" si="86"/>
        <v>0</v>
      </c>
      <c r="BS39">
        <f t="shared" si="87"/>
        <v>0</v>
      </c>
      <c r="BT39" s="4">
        <f t="shared" si="88"/>
        <v>16</v>
      </c>
      <c r="BU39" s="8" t="str">
        <f>LOOKUP(D39,'Mower Equipment EFs'!B$2:B$6,'Mower Equipment EFs'!A$2:A$6)</f>
        <v>Push Mower</v>
      </c>
      <c r="BV39" s="8">
        <f>LOOKUP(D39,'Mower Equipment EFs'!B$2:B$6,'Mower Equipment EFs'!H$2:H$6)</f>
        <v>15.88</v>
      </c>
      <c r="BW39">
        <f t="shared" si="89"/>
        <v>25.408000000000001</v>
      </c>
      <c r="BX39">
        <f t="shared" si="49"/>
        <v>4</v>
      </c>
      <c r="BY39" s="35">
        <f t="shared" si="90"/>
        <v>14.360158169243155</v>
      </c>
      <c r="BZ39">
        <f t="shared" si="91"/>
        <v>0.22565962837382103</v>
      </c>
      <c r="CA39">
        <v>0.23599999999999999</v>
      </c>
      <c r="CB39">
        <v>270</v>
      </c>
      <c r="CC39" s="5">
        <f t="shared" si="92"/>
        <v>60.928099660931679</v>
      </c>
      <c r="CD39" s="5">
        <f t="shared" si="93"/>
        <v>63.72</v>
      </c>
      <c r="CE39" s="32">
        <v>3.7810000000000001</v>
      </c>
      <c r="CF39" s="5">
        <f t="shared" si="94"/>
        <v>54.295758037908371</v>
      </c>
      <c r="CG39" s="26">
        <f t="shared" si="95"/>
        <v>140.63185769884007</v>
      </c>
      <c r="CH39" s="5">
        <f t="shared" si="96"/>
        <v>89.128</v>
      </c>
      <c r="CJ39" s="27"/>
      <c r="CK39" s="15"/>
      <c r="CL39" s="27"/>
    </row>
    <row r="40" spans="1:90">
      <c r="A40" t="s">
        <v>14</v>
      </c>
      <c r="B40" t="s">
        <v>165</v>
      </c>
      <c r="C40" t="s">
        <v>7</v>
      </c>
      <c r="D40" t="s">
        <v>9</v>
      </c>
      <c r="E40" t="s">
        <v>212</v>
      </c>
      <c r="F40" t="s">
        <v>226</v>
      </c>
      <c r="G40" t="s">
        <v>16</v>
      </c>
      <c r="H40">
        <v>41.128636017299598</v>
      </c>
      <c r="I40">
        <v>-104.796589567232</v>
      </c>
      <c r="J40" t="s">
        <v>44</v>
      </c>
      <c r="K40" t="s">
        <v>27</v>
      </c>
      <c r="L40" t="s">
        <v>443</v>
      </c>
      <c r="M40" s="9" t="s">
        <v>516</v>
      </c>
      <c r="N40">
        <v>0</v>
      </c>
      <c r="O40">
        <v>15</v>
      </c>
      <c r="P40">
        <v>0</v>
      </c>
      <c r="Q40">
        <v>93</v>
      </c>
      <c r="R40" t="s">
        <v>338</v>
      </c>
      <c r="S40" s="9" t="s">
        <v>558</v>
      </c>
      <c r="T40" s="22">
        <v>-1.8</v>
      </c>
      <c r="U40" s="22">
        <v>-1.3</v>
      </c>
      <c r="V40" s="22">
        <v>2.2000000000000002</v>
      </c>
      <c r="W40" s="22">
        <v>6</v>
      </c>
      <c r="X40" s="22">
        <v>11.3</v>
      </c>
      <c r="Y40" s="22">
        <v>16.7</v>
      </c>
      <c r="Z40" s="22">
        <v>20.8</v>
      </c>
      <c r="AA40" s="22">
        <v>19.8</v>
      </c>
      <c r="AB40" s="22">
        <v>14.6</v>
      </c>
      <c r="AC40" s="22">
        <v>7.9</v>
      </c>
      <c r="AD40" s="22">
        <v>1.8</v>
      </c>
      <c r="AE40" s="22">
        <v>-2.4</v>
      </c>
      <c r="AF40" s="24">
        <f t="shared" si="50"/>
        <v>5.5</v>
      </c>
      <c r="AG40" s="24">
        <f t="shared" si="51"/>
        <v>20</v>
      </c>
      <c r="AH40" s="25">
        <f t="shared" si="52"/>
        <v>3.8772795484351999E-4</v>
      </c>
      <c r="AI40" s="25">
        <f t="shared" si="53"/>
        <v>5.5363315565283761E-4</v>
      </c>
      <c r="AJ40" s="25">
        <f t="shared" si="54"/>
        <v>5.3160496768843478E-3</v>
      </c>
      <c r="AK40" s="25">
        <f t="shared" si="55"/>
        <v>3.9176843981361772E-2</v>
      </c>
      <c r="AL40" s="25">
        <f t="shared" si="56"/>
        <v>0.28619714708518451</v>
      </c>
      <c r="AM40" s="25">
        <f t="shared" si="57"/>
        <v>0.835270211411272</v>
      </c>
      <c r="AN40" s="25">
        <f t="shared" si="58"/>
        <v>0.98947724328830844</v>
      </c>
      <c r="AO40" s="25">
        <f t="shared" si="59"/>
        <v>0.99933906149135188</v>
      </c>
      <c r="AP40" s="25">
        <f t="shared" si="60"/>
        <v>0.61755726923848964</v>
      </c>
      <c r="AQ40" s="25">
        <f t="shared" si="61"/>
        <v>8.8921617459386385E-2</v>
      </c>
      <c r="AR40" s="25">
        <f t="shared" si="62"/>
        <v>4.1900554036219265E-3</v>
      </c>
      <c r="AS40" s="25">
        <f t="shared" si="63"/>
        <v>2.5012401102074037E-4</v>
      </c>
      <c r="AT40">
        <v>1</v>
      </c>
      <c r="AU40" s="30">
        <f t="shared" si="48"/>
        <v>7</v>
      </c>
      <c r="AV40" s="31">
        <f t="shared" si="64"/>
        <v>0</v>
      </c>
      <c r="AW40" s="31">
        <f t="shared" si="65"/>
        <v>0</v>
      </c>
      <c r="AX40" s="31">
        <f t="shared" si="66"/>
        <v>0</v>
      </c>
      <c r="AY40" s="31">
        <f t="shared" si="67"/>
        <v>0</v>
      </c>
      <c r="AZ40" s="31">
        <f t="shared" si="68"/>
        <v>14</v>
      </c>
      <c r="BA40" s="31">
        <f t="shared" si="69"/>
        <v>7</v>
      </c>
      <c r="BB40" s="31">
        <f t="shared" si="70"/>
        <v>7</v>
      </c>
      <c r="BC40" s="31">
        <f t="shared" si="71"/>
        <v>7</v>
      </c>
      <c r="BD40" s="31">
        <f t="shared" si="72"/>
        <v>10</v>
      </c>
      <c r="BE40" s="31">
        <f t="shared" si="73"/>
        <v>0</v>
      </c>
      <c r="BF40" s="31">
        <f t="shared" si="74"/>
        <v>0</v>
      </c>
      <c r="BG40" s="31">
        <f t="shared" si="75"/>
        <v>0</v>
      </c>
      <c r="BH40">
        <f t="shared" si="76"/>
        <v>0</v>
      </c>
      <c r="BI40">
        <f t="shared" si="77"/>
        <v>0</v>
      </c>
      <c r="BJ40">
        <f t="shared" si="78"/>
        <v>0</v>
      </c>
      <c r="BK40">
        <f t="shared" si="79"/>
        <v>0</v>
      </c>
      <c r="BL40">
        <f t="shared" si="80"/>
        <v>2</v>
      </c>
      <c r="BM40">
        <f t="shared" si="81"/>
        <v>4</v>
      </c>
      <c r="BN40">
        <f t="shared" si="82"/>
        <v>4</v>
      </c>
      <c r="BO40">
        <f t="shared" si="83"/>
        <v>4</v>
      </c>
      <c r="BP40">
        <f t="shared" si="84"/>
        <v>3</v>
      </c>
      <c r="BQ40">
        <f t="shared" si="85"/>
        <v>0</v>
      </c>
      <c r="BR40">
        <f t="shared" si="86"/>
        <v>0</v>
      </c>
      <c r="BS40">
        <f t="shared" si="87"/>
        <v>0</v>
      </c>
      <c r="BT40" s="4">
        <f t="shared" si="88"/>
        <v>17</v>
      </c>
      <c r="BU40" s="8" t="str">
        <f>LOOKUP(D40,'Mower Equipment EFs'!B$2:B$6,'Mower Equipment EFs'!A$2:A$6)</f>
        <v>Push Mower</v>
      </c>
      <c r="BV40" s="8">
        <f>LOOKUP(D40,'Mower Equipment EFs'!B$2:B$6,'Mower Equipment EFs'!H$2:H$6)</f>
        <v>15.88</v>
      </c>
      <c r="BW40">
        <f t="shared" si="89"/>
        <v>26.996000000000002</v>
      </c>
      <c r="BX40">
        <f t="shared" si="49"/>
        <v>3.5</v>
      </c>
      <c r="BY40" s="35">
        <f t="shared" si="90"/>
        <v>13.533229444550823</v>
      </c>
      <c r="BZ40">
        <f t="shared" si="91"/>
        <v>0.21266503412865578</v>
      </c>
      <c r="CA40">
        <v>0.23599999999999999</v>
      </c>
      <c r="CB40">
        <v>270</v>
      </c>
      <c r="CC40" s="5">
        <f t="shared" si="92"/>
        <v>57.419559214737063</v>
      </c>
      <c r="CD40" s="5">
        <f t="shared" si="93"/>
        <v>63.72</v>
      </c>
      <c r="CE40" s="32">
        <v>3.7810000000000001</v>
      </c>
      <c r="CF40" s="5">
        <f t="shared" si="94"/>
        <v>51.169140529846665</v>
      </c>
      <c r="CG40" s="26">
        <f t="shared" si="95"/>
        <v>135.58469974458373</v>
      </c>
      <c r="CH40" s="5">
        <f t="shared" si="96"/>
        <v>90.716000000000008</v>
      </c>
      <c r="CJ40" s="27"/>
      <c r="CK40" s="15"/>
      <c r="CL40" s="27"/>
    </row>
    <row r="41" spans="1:90">
      <c r="A41" t="s">
        <v>14</v>
      </c>
      <c r="B41" t="s">
        <v>82</v>
      </c>
      <c r="C41" t="s">
        <v>7</v>
      </c>
      <c r="D41" t="s">
        <v>9</v>
      </c>
      <c r="E41" t="s">
        <v>211</v>
      </c>
      <c r="F41" t="s">
        <v>227</v>
      </c>
      <c r="G41" t="s">
        <v>17</v>
      </c>
      <c r="H41">
        <v>32.779950651512998</v>
      </c>
      <c r="I41">
        <v>-96.8771670748079</v>
      </c>
      <c r="J41" t="s">
        <v>47</v>
      </c>
      <c r="K41" t="s">
        <v>11</v>
      </c>
      <c r="L41" t="s">
        <v>11</v>
      </c>
      <c r="M41" s="9" t="s">
        <v>439</v>
      </c>
      <c r="N41">
        <v>0</v>
      </c>
      <c r="O41">
        <v>15</v>
      </c>
      <c r="P41">
        <v>0</v>
      </c>
      <c r="Q41">
        <v>93</v>
      </c>
      <c r="R41" t="s">
        <v>344</v>
      </c>
      <c r="S41" s="9" t="s">
        <v>559</v>
      </c>
      <c r="T41" s="22">
        <v>7.7</v>
      </c>
      <c r="U41" s="22">
        <v>9.9</v>
      </c>
      <c r="V41" s="22">
        <v>14.2</v>
      </c>
      <c r="W41" s="22">
        <v>18.600000000000001</v>
      </c>
      <c r="X41" s="22">
        <v>23.3</v>
      </c>
      <c r="Y41" s="22">
        <v>27.4</v>
      </c>
      <c r="Z41" s="22">
        <v>29.6</v>
      </c>
      <c r="AA41" s="22">
        <v>29.8</v>
      </c>
      <c r="AB41" s="22">
        <v>25.6</v>
      </c>
      <c r="AC41" s="22">
        <v>19.7</v>
      </c>
      <c r="AD41" s="22">
        <v>13.7</v>
      </c>
      <c r="AE41" s="22">
        <v>8.4</v>
      </c>
      <c r="AF41" s="24">
        <f t="shared" si="50"/>
        <v>7</v>
      </c>
      <c r="AG41" s="24">
        <f t="shared" si="51"/>
        <v>31</v>
      </c>
      <c r="AH41" s="25">
        <f t="shared" si="52"/>
        <v>3.9277290203154104E-3</v>
      </c>
      <c r="AI41" s="25">
        <f t="shared" si="53"/>
        <v>1.0641868669319597E-2</v>
      </c>
      <c r="AJ41" s="25">
        <f t="shared" si="54"/>
        <v>5.6134762834133725E-2</v>
      </c>
      <c r="AK41" s="25">
        <f t="shared" si="55"/>
        <v>0.20825758170801176</v>
      </c>
      <c r="AL41" s="25">
        <f t="shared" si="56"/>
        <v>0.54607442663970951</v>
      </c>
      <c r="AM41" s="25">
        <f t="shared" si="57"/>
        <v>0.87612640723526436</v>
      </c>
      <c r="AN41" s="25">
        <f t="shared" si="58"/>
        <v>0.98019867330675536</v>
      </c>
      <c r="AO41" s="25">
        <f t="shared" si="59"/>
        <v>0.98541355064513303</v>
      </c>
      <c r="AP41" s="25">
        <f t="shared" si="60"/>
        <v>0.74263469272905713</v>
      </c>
      <c r="AQ41" s="25">
        <f t="shared" si="61"/>
        <v>0.27172651347426496</v>
      </c>
      <c r="AR41" s="25">
        <f t="shared" si="62"/>
        <v>4.7170829720485585E-2</v>
      </c>
      <c r="AS41" s="25">
        <f t="shared" si="63"/>
        <v>5.4516512491898936E-3</v>
      </c>
      <c r="AT41">
        <v>1</v>
      </c>
      <c r="AU41" s="30">
        <f t="shared" si="48"/>
        <v>7</v>
      </c>
      <c r="AV41" s="31">
        <f t="shared" si="64"/>
        <v>0</v>
      </c>
      <c r="AW41" s="31">
        <f t="shared" si="65"/>
        <v>0</v>
      </c>
      <c r="AX41" s="31">
        <f t="shared" si="66"/>
        <v>0</v>
      </c>
      <c r="AY41" s="31">
        <f t="shared" si="67"/>
        <v>14</v>
      </c>
      <c r="AZ41" s="31">
        <f t="shared" si="68"/>
        <v>10</v>
      </c>
      <c r="BA41" s="31">
        <f t="shared" si="69"/>
        <v>7</v>
      </c>
      <c r="BB41" s="31">
        <f t="shared" si="70"/>
        <v>7</v>
      </c>
      <c r="BC41" s="31">
        <f t="shared" si="71"/>
        <v>7</v>
      </c>
      <c r="BD41" s="31">
        <f t="shared" si="72"/>
        <v>10</v>
      </c>
      <c r="BE41" s="31">
        <f t="shared" si="73"/>
        <v>14</v>
      </c>
      <c r="BF41" s="31">
        <f t="shared" si="74"/>
        <v>0</v>
      </c>
      <c r="BG41" s="31">
        <f t="shared" si="75"/>
        <v>0</v>
      </c>
      <c r="BH41">
        <f t="shared" si="76"/>
        <v>0</v>
      </c>
      <c r="BI41">
        <f t="shared" si="77"/>
        <v>0</v>
      </c>
      <c r="BJ41">
        <f t="shared" si="78"/>
        <v>0</v>
      </c>
      <c r="BK41">
        <f t="shared" si="79"/>
        <v>2</v>
      </c>
      <c r="BL41">
        <f t="shared" si="80"/>
        <v>3</v>
      </c>
      <c r="BM41">
        <f t="shared" si="81"/>
        <v>4</v>
      </c>
      <c r="BN41">
        <f t="shared" si="82"/>
        <v>4</v>
      </c>
      <c r="BO41">
        <f t="shared" si="83"/>
        <v>4</v>
      </c>
      <c r="BP41">
        <f t="shared" si="84"/>
        <v>3</v>
      </c>
      <c r="BQ41">
        <f t="shared" si="85"/>
        <v>2</v>
      </c>
      <c r="BR41">
        <f t="shared" si="86"/>
        <v>0</v>
      </c>
      <c r="BS41">
        <f t="shared" si="87"/>
        <v>0</v>
      </c>
      <c r="BT41" s="4">
        <f t="shared" si="88"/>
        <v>22</v>
      </c>
      <c r="BU41" s="8" t="str">
        <f>LOOKUP(D41,'Mower Equipment EFs'!B$2:B$6,'Mower Equipment EFs'!A$2:A$6)</f>
        <v>Push Mower</v>
      </c>
      <c r="BV41" s="8">
        <f>LOOKUP(D41,'Mower Equipment EFs'!B$2:B$6,'Mower Equipment EFs'!H$2:H$6)</f>
        <v>15.88</v>
      </c>
      <c r="BW41">
        <f t="shared" si="89"/>
        <v>34.936</v>
      </c>
      <c r="BX41">
        <f t="shared" si="49"/>
        <v>4</v>
      </c>
      <c r="BY41" s="35">
        <f t="shared" si="90"/>
        <v>18.935034748926562</v>
      </c>
      <c r="BZ41">
        <f t="shared" si="91"/>
        <v>0.29755054605456027</v>
      </c>
      <c r="CA41">
        <v>0.23599999999999999</v>
      </c>
      <c r="CB41">
        <v>270</v>
      </c>
      <c r="CC41" s="5">
        <f t="shared" si="92"/>
        <v>80.338647434731271</v>
      </c>
      <c r="CD41" s="5">
        <f t="shared" si="93"/>
        <v>63.72</v>
      </c>
      <c r="CE41" s="32">
        <v>3.7810000000000001</v>
      </c>
      <c r="CF41" s="5">
        <f t="shared" si="94"/>
        <v>71.593366385691326</v>
      </c>
      <c r="CG41" s="26">
        <f t="shared" si="95"/>
        <v>186.86801382042259</v>
      </c>
      <c r="CH41" s="5">
        <f t="shared" si="96"/>
        <v>98.656000000000006</v>
      </c>
      <c r="CJ41" s="27"/>
      <c r="CK41" s="15"/>
      <c r="CL41" s="27"/>
    </row>
    <row r="42" spans="1:90">
      <c r="A42" t="s">
        <v>14</v>
      </c>
      <c r="B42" t="s">
        <v>184</v>
      </c>
      <c r="C42" t="s">
        <v>7</v>
      </c>
      <c r="D42" t="s">
        <v>9</v>
      </c>
      <c r="E42" t="s">
        <v>212</v>
      </c>
      <c r="F42" t="s">
        <v>226</v>
      </c>
      <c r="G42" t="s">
        <v>12</v>
      </c>
      <c r="H42">
        <v>39.733106788293597</v>
      </c>
      <c r="I42">
        <v>-104.906620368929</v>
      </c>
      <c r="J42" t="s">
        <v>44</v>
      </c>
      <c r="K42" t="s">
        <v>27</v>
      </c>
      <c r="L42" t="s">
        <v>443</v>
      </c>
      <c r="M42" t="s">
        <v>516</v>
      </c>
      <c r="N42">
        <v>0</v>
      </c>
      <c r="O42">
        <v>15</v>
      </c>
      <c r="P42">
        <v>0</v>
      </c>
      <c r="Q42">
        <v>83</v>
      </c>
      <c r="R42" t="s">
        <v>386</v>
      </c>
      <c r="S42" s="9" t="s">
        <v>560</v>
      </c>
      <c r="T42" s="22">
        <v>-0.6</v>
      </c>
      <c r="U42" s="22">
        <v>0.4</v>
      </c>
      <c r="V42" s="22">
        <v>4.4000000000000004</v>
      </c>
      <c r="W42" s="22">
        <v>8.6</v>
      </c>
      <c r="X42" s="22">
        <v>14</v>
      </c>
      <c r="Y42" s="22">
        <v>19.399999999999999</v>
      </c>
      <c r="Z42" s="22">
        <v>23.1</v>
      </c>
      <c r="AA42" s="22">
        <v>21.9</v>
      </c>
      <c r="AB42" s="22">
        <v>16.899999999999999</v>
      </c>
      <c r="AC42" s="22">
        <v>10.199999999999999</v>
      </c>
      <c r="AD42" s="22">
        <v>3.7</v>
      </c>
      <c r="AE42" s="22">
        <v>-1.1000000000000001</v>
      </c>
      <c r="AF42" s="24">
        <f t="shared" si="50"/>
        <v>5.5</v>
      </c>
      <c r="AG42" s="24">
        <f t="shared" si="51"/>
        <v>20</v>
      </c>
      <c r="AH42" s="25">
        <f t="shared" si="52"/>
        <v>8.9901137013807776E-4</v>
      </c>
      <c r="AI42" s="25">
        <f t="shared" si="53"/>
        <v>1.7471802677552638E-3</v>
      </c>
      <c r="AJ42" s="25">
        <f t="shared" si="54"/>
        <v>1.7908508590131888E-2</v>
      </c>
      <c r="AK42" s="25">
        <f t="shared" si="55"/>
        <v>0.11670578451141717</v>
      </c>
      <c r="AL42" s="25">
        <f t="shared" si="56"/>
        <v>0.5515397744971644</v>
      </c>
      <c r="AM42" s="25">
        <f t="shared" si="57"/>
        <v>0.99406725542300312</v>
      </c>
      <c r="AN42" s="25">
        <f t="shared" si="58"/>
        <v>0.85313031106278425</v>
      </c>
      <c r="AO42" s="25">
        <f t="shared" si="59"/>
        <v>0.94207591216748776</v>
      </c>
      <c r="AP42" s="25">
        <f t="shared" si="60"/>
        <v>0.85313031106278425</v>
      </c>
      <c r="AQ42" s="25">
        <f t="shared" si="61"/>
        <v>0.20444873561203109</v>
      </c>
      <c r="AR42" s="25">
        <f t="shared" si="62"/>
        <v>1.2381272281113609E-2</v>
      </c>
      <c r="AS42" s="25">
        <f t="shared" si="63"/>
        <v>6.3693498293545679E-4</v>
      </c>
      <c r="AT42">
        <v>1</v>
      </c>
      <c r="AU42" s="30">
        <f t="shared" si="48"/>
        <v>7</v>
      </c>
      <c r="AV42" s="31">
        <f t="shared" si="64"/>
        <v>0</v>
      </c>
      <c r="AW42" s="31">
        <f t="shared" si="65"/>
        <v>0</v>
      </c>
      <c r="AX42" s="31">
        <f t="shared" si="66"/>
        <v>0</v>
      </c>
      <c r="AY42" s="31">
        <f t="shared" si="67"/>
        <v>0</v>
      </c>
      <c r="AZ42" s="31">
        <f t="shared" si="68"/>
        <v>10</v>
      </c>
      <c r="BA42" s="31">
        <f t="shared" si="69"/>
        <v>7</v>
      </c>
      <c r="BB42" s="31">
        <f t="shared" si="70"/>
        <v>7</v>
      </c>
      <c r="BC42" s="31">
        <f t="shared" si="71"/>
        <v>7</v>
      </c>
      <c r="BD42" s="31">
        <f t="shared" si="72"/>
        <v>7</v>
      </c>
      <c r="BE42" s="31">
        <f t="shared" si="73"/>
        <v>14</v>
      </c>
      <c r="BF42" s="31">
        <f t="shared" si="74"/>
        <v>0</v>
      </c>
      <c r="BG42" s="31">
        <f t="shared" si="75"/>
        <v>0</v>
      </c>
      <c r="BH42">
        <f t="shared" si="76"/>
        <v>0</v>
      </c>
      <c r="BI42">
        <f t="shared" si="77"/>
        <v>0</v>
      </c>
      <c r="BJ42">
        <f t="shared" si="78"/>
        <v>0</v>
      </c>
      <c r="BK42">
        <f t="shared" si="79"/>
        <v>0</v>
      </c>
      <c r="BL42">
        <f t="shared" si="80"/>
        <v>3</v>
      </c>
      <c r="BM42">
        <f t="shared" si="81"/>
        <v>4</v>
      </c>
      <c r="BN42">
        <f t="shared" si="82"/>
        <v>4</v>
      </c>
      <c r="BO42">
        <f t="shared" si="83"/>
        <v>4</v>
      </c>
      <c r="BP42">
        <f t="shared" si="84"/>
        <v>4</v>
      </c>
      <c r="BQ42">
        <f t="shared" si="85"/>
        <v>2</v>
      </c>
      <c r="BR42">
        <f t="shared" si="86"/>
        <v>0</v>
      </c>
      <c r="BS42">
        <f t="shared" si="87"/>
        <v>0</v>
      </c>
      <c r="BT42" s="4">
        <f t="shared" si="88"/>
        <v>21</v>
      </c>
      <c r="BU42" s="8" t="str">
        <f>LOOKUP(D42,'Mower Equipment EFs'!B$2:B$6,'Mower Equipment EFs'!A$2:A$6)</f>
        <v>Push Mower</v>
      </c>
      <c r="BV42" s="8">
        <f>LOOKUP(D42,'Mower Equipment EFs'!B$2:B$6,'Mower Equipment EFs'!H$2:H$6)</f>
        <v>15.88</v>
      </c>
      <c r="BW42">
        <f t="shared" si="89"/>
        <v>33.347999999999999</v>
      </c>
      <c r="BX42">
        <f t="shared" si="49"/>
        <v>3.5</v>
      </c>
      <c r="BY42" s="35">
        <f t="shared" si="90"/>
        <v>15.920348471400613</v>
      </c>
      <c r="BZ42">
        <f t="shared" si="91"/>
        <v>0.25017690455058106</v>
      </c>
      <c r="CA42">
        <v>0.23599999999999999</v>
      </c>
      <c r="CB42">
        <v>270</v>
      </c>
      <c r="CC42" s="5">
        <f t="shared" si="92"/>
        <v>67.547764228656888</v>
      </c>
      <c r="CD42" s="5">
        <f t="shared" si="93"/>
        <v>63.72</v>
      </c>
      <c r="CE42" s="32">
        <v>3.7810000000000001</v>
      </c>
      <c r="CF42" s="5">
        <f t="shared" si="94"/>
        <v>60.194837570365721</v>
      </c>
      <c r="CG42" s="26">
        <f t="shared" si="95"/>
        <v>161.09060179902261</v>
      </c>
      <c r="CH42" s="5">
        <f t="shared" si="96"/>
        <v>97.067999999999998</v>
      </c>
      <c r="CJ42" s="27"/>
      <c r="CK42" s="15"/>
      <c r="CL42" s="27"/>
    </row>
    <row r="43" spans="1:90">
      <c r="A43" t="s">
        <v>14</v>
      </c>
      <c r="B43" t="s">
        <v>83</v>
      </c>
      <c r="C43" t="s">
        <v>7</v>
      </c>
      <c r="D43" t="s">
        <v>9</v>
      </c>
      <c r="E43" t="s">
        <v>212</v>
      </c>
      <c r="F43" t="s">
        <v>226</v>
      </c>
      <c r="G43" t="s">
        <v>18</v>
      </c>
      <c r="H43">
        <v>46.771017225883298</v>
      </c>
      <c r="I43">
        <v>-92.163098499773994</v>
      </c>
      <c r="J43" t="s">
        <v>45</v>
      </c>
      <c r="K43" s="9" t="s">
        <v>448</v>
      </c>
      <c r="L43" s="9" t="s">
        <v>446</v>
      </c>
      <c r="M43" s="9" t="s">
        <v>439</v>
      </c>
      <c r="N43">
        <v>0</v>
      </c>
      <c r="O43">
        <v>15</v>
      </c>
      <c r="P43">
        <v>0</v>
      </c>
      <c r="Q43">
        <v>100</v>
      </c>
      <c r="R43" t="s">
        <v>385</v>
      </c>
      <c r="S43" s="9" t="s">
        <v>561</v>
      </c>
      <c r="T43" s="22">
        <v>-11.4</v>
      </c>
      <c r="U43" s="22">
        <v>-8.6</v>
      </c>
      <c r="V43" s="22">
        <v>-2.9</v>
      </c>
      <c r="W43" s="22">
        <v>3.6</v>
      </c>
      <c r="X43" s="22">
        <v>8.9</v>
      </c>
      <c r="Y43" s="22">
        <v>14</v>
      </c>
      <c r="Z43" s="22">
        <v>18.8</v>
      </c>
      <c r="AA43" s="22">
        <v>18.5</v>
      </c>
      <c r="AB43" s="22">
        <v>14.1</v>
      </c>
      <c r="AC43" s="22">
        <v>8.1</v>
      </c>
      <c r="AD43" s="22">
        <v>0.1</v>
      </c>
      <c r="AE43" s="22">
        <v>-7.7</v>
      </c>
      <c r="AF43" s="24">
        <f t="shared" si="50"/>
        <v>5.5</v>
      </c>
      <c r="AG43" s="24">
        <f t="shared" si="51"/>
        <v>20</v>
      </c>
      <c r="AH43" s="25">
        <f t="shared" si="52"/>
        <v>8.363033664661442E-8</v>
      </c>
      <c r="AI43" s="25">
        <f t="shared" si="53"/>
        <v>1.3438122776315191E-6</v>
      </c>
      <c r="AJ43" s="25">
        <f t="shared" si="54"/>
        <v>1.7201413843982773E-4</v>
      </c>
      <c r="AK43" s="25">
        <f t="shared" si="55"/>
        <v>1.1729833219424175E-2</v>
      </c>
      <c r="AL43" s="25">
        <f t="shared" si="56"/>
        <v>0.13048083442873259</v>
      </c>
      <c r="AM43" s="25">
        <f t="shared" si="57"/>
        <v>0.5515397744971644</v>
      </c>
      <c r="AN43" s="25">
        <f t="shared" si="58"/>
        <v>0.97647937241005145</v>
      </c>
      <c r="AO43" s="25">
        <f t="shared" si="59"/>
        <v>0.96349297464906791</v>
      </c>
      <c r="AP43" s="25">
        <f t="shared" si="60"/>
        <v>0.56249563731029584</v>
      </c>
      <c r="AQ43" s="25">
        <f t="shared" si="61"/>
        <v>9.6263971584939392E-2</v>
      </c>
      <c r="AR43" s="25">
        <f t="shared" si="62"/>
        <v>1.4363934800538621E-3</v>
      </c>
      <c r="AS43" s="25">
        <f t="shared" si="63"/>
        <v>3.1050543495754984E-6</v>
      </c>
      <c r="AT43">
        <v>1</v>
      </c>
      <c r="AU43" s="30">
        <f t="shared" si="48"/>
        <v>7</v>
      </c>
      <c r="AV43" s="31">
        <f t="shared" si="64"/>
        <v>0</v>
      </c>
      <c r="AW43" s="31">
        <f t="shared" si="65"/>
        <v>0</v>
      </c>
      <c r="AX43" s="31">
        <f t="shared" si="66"/>
        <v>0</v>
      </c>
      <c r="AY43" s="31">
        <f t="shared" si="67"/>
        <v>0</v>
      </c>
      <c r="AZ43" s="31">
        <f t="shared" si="68"/>
        <v>0</v>
      </c>
      <c r="BA43" s="31">
        <f t="shared" si="69"/>
        <v>10</v>
      </c>
      <c r="BB43" s="31">
        <f t="shared" si="70"/>
        <v>7</v>
      </c>
      <c r="BC43" s="31">
        <f t="shared" si="71"/>
        <v>7</v>
      </c>
      <c r="BD43" s="31">
        <f t="shared" si="72"/>
        <v>10</v>
      </c>
      <c r="BE43" s="31">
        <f t="shared" si="73"/>
        <v>0</v>
      </c>
      <c r="BF43" s="31">
        <f t="shared" si="74"/>
        <v>0</v>
      </c>
      <c r="BG43" s="31">
        <f t="shared" si="75"/>
        <v>0</v>
      </c>
      <c r="BH43">
        <f t="shared" si="76"/>
        <v>0</v>
      </c>
      <c r="BI43">
        <f t="shared" si="77"/>
        <v>0</v>
      </c>
      <c r="BJ43">
        <f t="shared" si="78"/>
        <v>0</v>
      </c>
      <c r="BK43">
        <f t="shared" si="79"/>
        <v>0</v>
      </c>
      <c r="BL43">
        <f t="shared" si="80"/>
        <v>0</v>
      </c>
      <c r="BM43">
        <f t="shared" si="81"/>
        <v>3</v>
      </c>
      <c r="BN43">
        <f t="shared" si="82"/>
        <v>4</v>
      </c>
      <c r="BO43">
        <f t="shared" si="83"/>
        <v>4</v>
      </c>
      <c r="BP43">
        <f t="shared" si="84"/>
        <v>3</v>
      </c>
      <c r="BQ43">
        <f t="shared" si="85"/>
        <v>0</v>
      </c>
      <c r="BR43">
        <f t="shared" si="86"/>
        <v>0</v>
      </c>
      <c r="BS43">
        <f t="shared" si="87"/>
        <v>0</v>
      </c>
      <c r="BT43" s="4">
        <f t="shared" si="88"/>
        <v>14</v>
      </c>
      <c r="BU43" s="8" t="str">
        <f>LOOKUP(D43,'Mower Equipment EFs'!B$2:B$6,'Mower Equipment EFs'!A$2:A$6)</f>
        <v>Push Mower</v>
      </c>
      <c r="BV43" s="8">
        <f>LOOKUP(D43,'Mower Equipment EFs'!B$2:B$6,'Mower Equipment EFs'!H$2:H$6)</f>
        <v>15.88</v>
      </c>
      <c r="BW43">
        <f t="shared" si="89"/>
        <v>22.231999999999999</v>
      </c>
      <c r="BX43">
        <f t="shared" si="49"/>
        <v>3.5</v>
      </c>
      <c r="BY43" s="35">
        <f t="shared" si="90"/>
        <v>11.529333683752968</v>
      </c>
      <c r="BZ43">
        <f t="shared" si="91"/>
        <v>0.18117524360183235</v>
      </c>
      <c r="CA43">
        <v>0.23599999999999999</v>
      </c>
      <c r="CB43">
        <v>270</v>
      </c>
      <c r="CC43" s="5">
        <f t="shared" si="92"/>
        <v>48.917315772494732</v>
      </c>
      <c r="CD43" s="5">
        <f t="shared" si="93"/>
        <v>63.72</v>
      </c>
      <c r="CE43" s="32">
        <v>3.7810000000000001</v>
      </c>
      <c r="CF43" s="5">
        <f t="shared" si="94"/>
        <v>43.592410658269976</v>
      </c>
      <c r="CG43" s="26">
        <f t="shared" si="95"/>
        <v>114.74172643076471</v>
      </c>
      <c r="CH43" s="5">
        <f t="shared" si="96"/>
        <v>85.951999999999998</v>
      </c>
      <c r="CJ43" s="27"/>
      <c r="CK43" s="15"/>
      <c r="CL43" s="27"/>
    </row>
    <row r="44" spans="1:90">
      <c r="A44" t="s">
        <v>14</v>
      </c>
      <c r="B44" t="s">
        <v>84</v>
      </c>
      <c r="C44" t="s">
        <v>7</v>
      </c>
      <c r="D44" t="s">
        <v>9</v>
      </c>
      <c r="E44" t="s">
        <v>213</v>
      </c>
      <c r="F44" t="s">
        <v>227</v>
      </c>
      <c r="G44" t="s">
        <v>36</v>
      </c>
      <c r="H44">
        <v>29.747751986483799</v>
      </c>
      <c r="I44">
        <v>-95.432924251258598</v>
      </c>
      <c r="J44" t="s">
        <v>47</v>
      </c>
      <c r="K44" t="s">
        <v>11</v>
      </c>
      <c r="L44" t="s">
        <v>11</v>
      </c>
      <c r="M44" s="9" t="s">
        <v>439</v>
      </c>
      <c r="N44">
        <v>0</v>
      </c>
      <c r="O44">
        <v>15</v>
      </c>
      <c r="P44">
        <v>0</v>
      </c>
      <c r="Q44">
        <v>100</v>
      </c>
      <c r="R44" t="s">
        <v>384</v>
      </c>
      <c r="S44" s="9" t="s">
        <v>562</v>
      </c>
      <c r="T44" s="22">
        <v>11.8</v>
      </c>
      <c r="U44" s="22">
        <v>13.5</v>
      </c>
      <c r="V44" s="22">
        <v>17</v>
      </c>
      <c r="W44" s="22">
        <v>20.9</v>
      </c>
      <c r="X44" s="22">
        <v>24.7</v>
      </c>
      <c r="Y44" s="22">
        <v>27.6</v>
      </c>
      <c r="Z44" s="22">
        <v>28.7</v>
      </c>
      <c r="AA44" s="22">
        <v>28.7</v>
      </c>
      <c r="AB44" s="22">
        <v>26.6</v>
      </c>
      <c r="AC44" s="22">
        <v>22</v>
      </c>
      <c r="AD44" s="22">
        <v>16.7</v>
      </c>
      <c r="AE44" s="22">
        <v>13.1</v>
      </c>
      <c r="AF44" s="24">
        <f t="shared" si="50"/>
        <v>7</v>
      </c>
      <c r="AG44" s="24">
        <f t="shared" si="51"/>
        <v>31</v>
      </c>
      <c r="AH44" s="25">
        <f t="shared" si="52"/>
        <v>2.3245757120073006E-2</v>
      </c>
      <c r="AI44" s="25">
        <f t="shared" si="53"/>
        <v>4.393693362340742E-2</v>
      </c>
      <c r="AJ44" s="25">
        <f t="shared" si="54"/>
        <v>0.1353352832366127</v>
      </c>
      <c r="AK44" s="25">
        <f t="shared" si="55"/>
        <v>0.35313022972621799</v>
      </c>
      <c r="AL44" s="25">
        <f t="shared" si="56"/>
        <v>0.66697681085847427</v>
      </c>
      <c r="AM44" s="25">
        <f t="shared" si="57"/>
        <v>0.88873232666316915</v>
      </c>
      <c r="AN44" s="25">
        <f t="shared" si="58"/>
        <v>0.94745144204821141</v>
      </c>
      <c r="AO44" s="25">
        <f t="shared" si="59"/>
        <v>0.94745144204821141</v>
      </c>
      <c r="AP44" s="25">
        <f t="shared" si="60"/>
        <v>0.82073826515819859</v>
      </c>
      <c r="AQ44" s="25">
        <f t="shared" si="61"/>
        <v>0.43756473770026916</v>
      </c>
      <c r="AR44" s="25">
        <f t="shared" si="62"/>
        <v>0.12410433534917899</v>
      </c>
      <c r="AS44" s="25">
        <f t="shared" si="63"/>
        <v>3.8025823056930148E-2</v>
      </c>
      <c r="AT44">
        <v>1</v>
      </c>
      <c r="AU44" s="30">
        <f t="shared" si="48"/>
        <v>7</v>
      </c>
      <c r="AV44" s="31">
        <f t="shared" si="64"/>
        <v>0</v>
      </c>
      <c r="AW44" s="31">
        <f t="shared" si="65"/>
        <v>0</v>
      </c>
      <c r="AX44" s="31">
        <f t="shared" si="66"/>
        <v>0</v>
      </c>
      <c r="AY44" s="31">
        <f t="shared" si="67"/>
        <v>14</v>
      </c>
      <c r="AZ44" s="31">
        <f t="shared" si="68"/>
        <v>10</v>
      </c>
      <c r="BA44" s="31">
        <f t="shared" si="69"/>
        <v>7</v>
      </c>
      <c r="BB44" s="31">
        <f t="shared" si="70"/>
        <v>7</v>
      </c>
      <c r="BC44" s="31">
        <f t="shared" si="71"/>
        <v>7</v>
      </c>
      <c r="BD44" s="31">
        <f t="shared" si="72"/>
        <v>7</v>
      </c>
      <c r="BE44" s="31">
        <f t="shared" si="73"/>
        <v>14</v>
      </c>
      <c r="BF44" s="31">
        <f t="shared" si="74"/>
        <v>0</v>
      </c>
      <c r="BG44" s="31">
        <f t="shared" si="75"/>
        <v>0</v>
      </c>
      <c r="BH44">
        <f t="shared" si="76"/>
        <v>0</v>
      </c>
      <c r="BI44">
        <f t="shared" si="77"/>
        <v>0</v>
      </c>
      <c r="BJ44">
        <f t="shared" si="78"/>
        <v>0</v>
      </c>
      <c r="BK44">
        <f t="shared" si="79"/>
        <v>2</v>
      </c>
      <c r="BL44">
        <f t="shared" si="80"/>
        <v>3</v>
      </c>
      <c r="BM44">
        <f t="shared" si="81"/>
        <v>4</v>
      </c>
      <c r="BN44">
        <f t="shared" si="82"/>
        <v>4</v>
      </c>
      <c r="BO44">
        <f t="shared" si="83"/>
        <v>4</v>
      </c>
      <c r="BP44">
        <f t="shared" si="84"/>
        <v>4</v>
      </c>
      <c r="BQ44">
        <f t="shared" si="85"/>
        <v>2</v>
      </c>
      <c r="BR44">
        <f t="shared" si="86"/>
        <v>0</v>
      </c>
      <c r="BS44">
        <f t="shared" si="87"/>
        <v>0</v>
      </c>
      <c r="BT44" s="4">
        <f t="shared" si="88"/>
        <v>23</v>
      </c>
      <c r="BU44" s="8" t="str">
        <f>LOOKUP(D44,'Mower Equipment EFs'!B$2:B$6,'Mower Equipment EFs'!A$2:A$6)</f>
        <v>Push Mower</v>
      </c>
      <c r="BV44" s="8">
        <f>LOOKUP(D44,'Mower Equipment EFs'!B$2:B$6,'Mower Equipment EFs'!H$2:H$6)</f>
        <v>15.88</v>
      </c>
      <c r="BW44">
        <f t="shared" si="89"/>
        <v>36.524000000000001</v>
      </c>
      <c r="BX44">
        <f t="shared" si="49"/>
        <v>4</v>
      </c>
      <c r="BY44" s="35">
        <f t="shared" si="90"/>
        <v>21.706773546355816</v>
      </c>
      <c r="BZ44">
        <f t="shared" si="91"/>
        <v>0.34110644144273428</v>
      </c>
      <c r="CA44">
        <v>0.23599999999999999</v>
      </c>
      <c r="CB44">
        <v>270</v>
      </c>
      <c r="CC44" s="5">
        <f t="shared" si="92"/>
        <v>92.09873918953825</v>
      </c>
      <c r="CD44" s="5">
        <f t="shared" si="93"/>
        <v>63.72</v>
      </c>
      <c r="CE44" s="32">
        <v>3.7810000000000001</v>
      </c>
      <c r="CF44" s="5">
        <f t="shared" si="94"/>
        <v>82.073310778771344</v>
      </c>
      <c r="CG44" s="26">
        <f t="shared" si="95"/>
        <v>210.69604996830961</v>
      </c>
      <c r="CH44" s="5">
        <f t="shared" si="96"/>
        <v>100.244</v>
      </c>
      <c r="CJ44" s="27"/>
      <c r="CK44" s="15"/>
      <c r="CL44" s="27"/>
    </row>
    <row r="45" spans="1:90">
      <c r="A45" t="s">
        <v>14</v>
      </c>
      <c r="B45" t="s">
        <v>177</v>
      </c>
      <c r="C45" t="s">
        <v>7</v>
      </c>
      <c r="D45" t="s">
        <v>9</v>
      </c>
      <c r="E45" t="s">
        <v>210</v>
      </c>
      <c r="F45" t="s">
        <v>227</v>
      </c>
      <c r="G45" t="s">
        <v>19</v>
      </c>
      <c r="H45">
        <v>36.105814201600602</v>
      </c>
      <c r="I45">
        <v>-115.234095477523</v>
      </c>
      <c r="J45" t="s">
        <v>48</v>
      </c>
      <c r="K45" t="s">
        <v>28</v>
      </c>
      <c r="L45" t="s">
        <v>444</v>
      </c>
      <c r="M45" t="s">
        <v>514</v>
      </c>
      <c r="N45">
        <v>0</v>
      </c>
      <c r="O45">
        <v>15</v>
      </c>
      <c r="P45">
        <v>0</v>
      </c>
      <c r="Q45">
        <v>73</v>
      </c>
      <c r="R45" t="s">
        <v>383</v>
      </c>
      <c r="S45" s="9" t="s">
        <v>563</v>
      </c>
      <c r="T45" s="22">
        <v>9.3000000000000007</v>
      </c>
      <c r="U45" s="22">
        <v>11.6</v>
      </c>
      <c r="V45" s="22">
        <v>15.5</v>
      </c>
      <c r="W45" s="22">
        <v>19.600000000000001</v>
      </c>
      <c r="X45" s="22">
        <v>25.2</v>
      </c>
      <c r="Y45" s="22">
        <v>30.4</v>
      </c>
      <c r="Z45" s="22">
        <v>33.6</v>
      </c>
      <c r="AA45" s="22">
        <v>32.6</v>
      </c>
      <c r="AB45" s="22">
        <v>28.1</v>
      </c>
      <c r="AC45" s="22">
        <v>20.8</v>
      </c>
      <c r="AD45" s="22">
        <v>13.6</v>
      </c>
      <c r="AE45" s="22">
        <v>8.6999999999999993</v>
      </c>
      <c r="AF45" s="24">
        <f t="shared" si="50"/>
        <v>7</v>
      </c>
      <c r="AG45" s="24">
        <f t="shared" si="51"/>
        <v>31</v>
      </c>
      <c r="AH45" s="25">
        <f t="shared" si="52"/>
        <v>8.1887010143740745E-3</v>
      </c>
      <c r="AI45" s="25">
        <f t="shared" si="53"/>
        <v>2.1484830236725611E-2</v>
      </c>
      <c r="AJ45" s="25">
        <f t="shared" si="54"/>
        <v>8.6161605510843745E-2</v>
      </c>
      <c r="AK45" s="25">
        <f t="shared" si="55"/>
        <v>0.26550477620756679</v>
      </c>
      <c r="AL45" s="25">
        <f t="shared" si="56"/>
        <v>0.70944996517052195</v>
      </c>
      <c r="AM45" s="25">
        <f t="shared" si="57"/>
        <v>0.99633326954663448</v>
      </c>
      <c r="AN45" s="25">
        <f t="shared" si="58"/>
        <v>0.93334572775583224</v>
      </c>
      <c r="AO45" s="25">
        <f t="shared" si="59"/>
        <v>0.97421579057541763</v>
      </c>
      <c r="AP45" s="25">
        <f t="shared" si="60"/>
        <v>0.9177627844149906</v>
      </c>
      <c r="AQ45" s="25">
        <f t="shared" si="61"/>
        <v>0.34589062968823903</v>
      </c>
      <c r="AR45" s="25">
        <f t="shared" si="62"/>
        <v>4.552982127385679E-2</v>
      </c>
      <c r="AS45" s="25">
        <f t="shared" si="63"/>
        <v>6.2549148072376009E-3</v>
      </c>
      <c r="AT45">
        <v>1</v>
      </c>
      <c r="AU45" s="30">
        <f t="shared" si="48"/>
        <v>7</v>
      </c>
      <c r="AV45" s="31">
        <f t="shared" si="64"/>
        <v>0</v>
      </c>
      <c r="AW45" s="31">
        <f t="shared" si="65"/>
        <v>0</v>
      </c>
      <c r="AX45" s="31">
        <f t="shared" si="66"/>
        <v>0</v>
      </c>
      <c r="AY45" s="31">
        <f t="shared" si="67"/>
        <v>14</v>
      </c>
      <c r="AZ45" s="31">
        <f t="shared" si="68"/>
        <v>10</v>
      </c>
      <c r="BA45" s="31">
        <f t="shared" si="69"/>
        <v>7</v>
      </c>
      <c r="BB45" s="31">
        <f t="shared" si="70"/>
        <v>7</v>
      </c>
      <c r="BC45" s="31">
        <f t="shared" si="71"/>
        <v>7</v>
      </c>
      <c r="BD45" s="31">
        <f t="shared" si="72"/>
        <v>7</v>
      </c>
      <c r="BE45" s="31">
        <f t="shared" si="73"/>
        <v>14</v>
      </c>
      <c r="BF45" s="31">
        <f t="shared" si="74"/>
        <v>0</v>
      </c>
      <c r="BG45" s="31">
        <f t="shared" si="75"/>
        <v>0</v>
      </c>
      <c r="BH45">
        <f t="shared" si="76"/>
        <v>0</v>
      </c>
      <c r="BI45">
        <f t="shared" si="77"/>
        <v>0</v>
      </c>
      <c r="BJ45">
        <f t="shared" si="78"/>
        <v>0</v>
      </c>
      <c r="BK45">
        <f t="shared" si="79"/>
        <v>2</v>
      </c>
      <c r="BL45">
        <f t="shared" si="80"/>
        <v>3</v>
      </c>
      <c r="BM45">
        <f t="shared" si="81"/>
        <v>4</v>
      </c>
      <c r="BN45">
        <f t="shared" si="82"/>
        <v>4</v>
      </c>
      <c r="BO45">
        <f t="shared" si="83"/>
        <v>4</v>
      </c>
      <c r="BP45">
        <f t="shared" si="84"/>
        <v>4</v>
      </c>
      <c r="BQ45">
        <f t="shared" si="85"/>
        <v>2</v>
      </c>
      <c r="BR45">
        <f t="shared" si="86"/>
        <v>0</v>
      </c>
      <c r="BS45">
        <f t="shared" si="87"/>
        <v>0</v>
      </c>
      <c r="BT45" s="4">
        <f t="shared" si="88"/>
        <v>23</v>
      </c>
      <c r="BU45" s="8" t="str">
        <f>LOOKUP(D45,'Mower Equipment EFs'!B$2:B$6,'Mower Equipment EFs'!A$2:A$6)</f>
        <v>Push Mower</v>
      </c>
      <c r="BV45" s="8">
        <f>LOOKUP(D45,'Mower Equipment EFs'!B$2:B$6,'Mower Equipment EFs'!H$2:H$6)</f>
        <v>15.88</v>
      </c>
      <c r="BW45">
        <f t="shared" si="89"/>
        <v>36.524000000000001</v>
      </c>
      <c r="BX45">
        <f t="shared" si="49"/>
        <v>4</v>
      </c>
      <c r="BY45" s="35">
        <f t="shared" si="90"/>
        <v>21.240491264808963</v>
      </c>
      <c r="BZ45">
        <f t="shared" si="91"/>
        <v>0.33377914844699802</v>
      </c>
      <c r="CA45">
        <v>0.23599999999999999</v>
      </c>
      <c r="CB45">
        <v>270</v>
      </c>
      <c r="CC45" s="5">
        <f t="shared" si="92"/>
        <v>90.120370080689469</v>
      </c>
      <c r="CD45" s="5">
        <f t="shared" si="93"/>
        <v>63.72</v>
      </c>
      <c r="CE45" s="32">
        <v>3.7810000000000001</v>
      </c>
      <c r="CF45" s="5">
        <f t="shared" si="94"/>
        <v>80.310297472242695</v>
      </c>
      <c r="CG45" s="26">
        <f t="shared" si="95"/>
        <v>206.95466755293216</v>
      </c>
      <c r="CH45" s="5">
        <f t="shared" si="96"/>
        <v>100.244</v>
      </c>
      <c r="CJ45" s="27"/>
      <c r="CK45" s="15"/>
      <c r="CL45" s="27"/>
    </row>
    <row r="46" spans="1:90">
      <c r="A46" t="s">
        <v>14</v>
      </c>
      <c r="B46" t="s">
        <v>85</v>
      </c>
      <c r="C46" t="s">
        <v>7</v>
      </c>
      <c r="D46" t="s">
        <v>9</v>
      </c>
      <c r="E46" t="s">
        <v>212</v>
      </c>
      <c r="F46" t="s">
        <v>226</v>
      </c>
      <c r="G46" t="s">
        <v>20</v>
      </c>
      <c r="H46">
        <v>44.9429152091258</v>
      </c>
      <c r="I46">
        <v>-93.293760568428397</v>
      </c>
      <c r="J46" t="s">
        <v>45</v>
      </c>
      <c r="K46" s="9" t="s">
        <v>448</v>
      </c>
      <c r="L46" s="9" t="s">
        <v>446</v>
      </c>
      <c r="M46" s="9" t="s">
        <v>439</v>
      </c>
      <c r="N46">
        <v>0</v>
      </c>
      <c r="O46">
        <v>15</v>
      </c>
      <c r="P46">
        <v>0</v>
      </c>
      <c r="Q46">
        <v>83</v>
      </c>
      <c r="R46" t="s">
        <v>387</v>
      </c>
      <c r="S46" s="9" t="s">
        <v>564</v>
      </c>
      <c r="T46" s="22">
        <v>-9.1</v>
      </c>
      <c r="U46" s="22">
        <v>-6.2</v>
      </c>
      <c r="V46" s="22">
        <v>0.4</v>
      </c>
      <c r="W46" s="22">
        <v>8.6</v>
      </c>
      <c r="X46" s="22">
        <v>15.1</v>
      </c>
      <c r="Y46" s="22">
        <v>20.399999999999999</v>
      </c>
      <c r="Z46" s="22">
        <v>23.2</v>
      </c>
      <c r="AA46" s="22">
        <v>21.8</v>
      </c>
      <c r="AB46" s="22">
        <v>16.7</v>
      </c>
      <c r="AC46" s="22">
        <v>9.4</v>
      </c>
      <c r="AD46" s="22">
        <v>0.9</v>
      </c>
      <c r="AE46" s="22">
        <v>-6.8</v>
      </c>
      <c r="AF46" s="24">
        <f t="shared" si="50"/>
        <v>5.5</v>
      </c>
      <c r="AG46" s="24">
        <f t="shared" si="51"/>
        <v>20</v>
      </c>
      <c r="AH46" s="25">
        <f t="shared" si="52"/>
        <v>8.3414423647091076E-7</v>
      </c>
      <c r="AI46" s="25">
        <f t="shared" si="53"/>
        <v>1.1815294727032181E-5</v>
      </c>
      <c r="AJ46" s="25">
        <f t="shared" si="54"/>
        <v>1.7471802677552638E-3</v>
      </c>
      <c r="AK46" s="25">
        <f t="shared" si="55"/>
        <v>0.11670578451141717</v>
      </c>
      <c r="AL46" s="25">
        <f t="shared" si="56"/>
        <v>0.67242849242096014</v>
      </c>
      <c r="AM46" s="25">
        <f t="shared" si="57"/>
        <v>0.99735886584897482</v>
      </c>
      <c r="AN46" s="25">
        <f t="shared" si="58"/>
        <v>0.84429256931426844</v>
      </c>
      <c r="AO46" s="25">
        <f t="shared" si="59"/>
        <v>0.94785502180440107</v>
      </c>
      <c r="AP46" s="25">
        <f t="shared" si="60"/>
        <v>0.835270211411272</v>
      </c>
      <c r="AQ46" s="25">
        <f t="shared" si="61"/>
        <v>0.15611067273703377</v>
      </c>
      <c r="AR46" s="25">
        <f t="shared" si="62"/>
        <v>2.4056927879899156E-3</v>
      </c>
      <c r="AS46" s="25">
        <f t="shared" si="63"/>
        <v>6.9850700463870926E-6</v>
      </c>
      <c r="AT46">
        <v>1</v>
      </c>
      <c r="AU46" s="30">
        <f t="shared" si="48"/>
        <v>7</v>
      </c>
      <c r="AV46" s="31">
        <f t="shared" si="64"/>
        <v>0</v>
      </c>
      <c r="AW46" s="31">
        <f t="shared" si="65"/>
        <v>0</v>
      </c>
      <c r="AX46" s="31">
        <f t="shared" si="66"/>
        <v>0</v>
      </c>
      <c r="AY46" s="31">
        <f t="shared" si="67"/>
        <v>0</v>
      </c>
      <c r="AZ46" s="31">
        <f t="shared" si="68"/>
        <v>10</v>
      </c>
      <c r="BA46" s="31">
        <f t="shared" si="69"/>
        <v>7</v>
      </c>
      <c r="BB46" s="31">
        <f t="shared" si="70"/>
        <v>7</v>
      </c>
      <c r="BC46" s="31">
        <f t="shared" si="71"/>
        <v>7</v>
      </c>
      <c r="BD46" s="31">
        <f t="shared" si="72"/>
        <v>7</v>
      </c>
      <c r="BE46" s="31">
        <f t="shared" si="73"/>
        <v>0</v>
      </c>
      <c r="BF46" s="31">
        <f t="shared" si="74"/>
        <v>0</v>
      </c>
      <c r="BG46" s="31">
        <f t="shared" si="75"/>
        <v>0</v>
      </c>
      <c r="BH46">
        <f t="shared" si="76"/>
        <v>0</v>
      </c>
      <c r="BI46">
        <f t="shared" si="77"/>
        <v>0</v>
      </c>
      <c r="BJ46">
        <f t="shared" si="78"/>
        <v>0</v>
      </c>
      <c r="BK46">
        <f t="shared" si="79"/>
        <v>0</v>
      </c>
      <c r="BL46">
        <f t="shared" si="80"/>
        <v>3</v>
      </c>
      <c r="BM46">
        <f t="shared" si="81"/>
        <v>4</v>
      </c>
      <c r="BN46">
        <f t="shared" si="82"/>
        <v>4</v>
      </c>
      <c r="BO46">
        <f t="shared" si="83"/>
        <v>4</v>
      </c>
      <c r="BP46">
        <f t="shared" si="84"/>
        <v>4</v>
      </c>
      <c r="BQ46">
        <f t="shared" si="85"/>
        <v>0</v>
      </c>
      <c r="BR46">
        <f t="shared" si="86"/>
        <v>0</v>
      </c>
      <c r="BS46">
        <f t="shared" si="87"/>
        <v>0</v>
      </c>
      <c r="BT46" s="4">
        <f t="shared" si="88"/>
        <v>19</v>
      </c>
      <c r="BU46" s="8" t="str">
        <f>LOOKUP(D46,'Mower Equipment EFs'!B$2:B$6,'Mower Equipment EFs'!A$2:A$6)</f>
        <v>Push Mower</v>
      </c>
      <c r="BV46" s="8">
        <f>LOOKUP(D46,'Mower Equipment EFs'!B$2:B$6,'Mower Equipment EFs'!H$2:H$6)</f>
        <v>15.88</v>
      </c>
      <c r="BW46">
        <f t="shared" si="89"/>
        <v>30.172000000000001</v>
      </c>
      <c r="BX46">
        <f t="shared" si="49"/>
        <v>3.5</v>
      </c>
      <c r="BY46" s="35">
        <f t="shared" si="90"/>
        <v>16.009679439645794</v>
      </c>
      <c r="BZ46">
        <f t="shared" si="91"/>
        <v>0.2515806769087196</v>
      </c>
      <c r="CA46">
        <v>0.23599999999999999</v>
      </c>
      <c r="CB46">
        <v>270</v>
      </c>
      <c r="CC46" s="5">
        <f t="shared" si="92"/>
        <v>67.926782765354289</v>
      </c>
      <c r="CD46" s="5">
        <f t="shared" si="93"/>
        <v>63.72</v>
      </c>
      <c r="CE46" s="32">
        <v>3.7810000000000001</v>
      </c>
      <c r="CF46" s="5">
        <f t="shared" si="94"/>
        <v>60.532597961300752</v>
      </c>
      <c r="CG46" s="26">
        <f t="shared" si="95"/>
        <v>158.63138072665504</v>
      </c>
      <c r="CH46" s="5">
        <f t="shared" si="96"/>
        <v>93.891999999999996</v>
      </c>
      <c r="CJ46" s="27"/>
      <c r="CK46" s="15"/>
      <c r="CL46" s="27"/>
    </row>
    <row r="47" spans="1:90">
      <c r="A47" t="s">
        <v>14</v>
      </c>
      <c r="B47" t="s">
        <v>176</v>
      </c>
      <c r="C47" t="s">
        <v>7</v>
      </c>
      <c r="D47" t="s">
        <v>9</v>
      </c>
      <c r="E47" t="s">
        <v>213</v>
      </c>
      <c r="F47" t="s">
        <v>227</v>
      </c>
      <c r="G47" t="s">
        <v>21</v>
      </c>
      <c r="H47">
        <v>28.527559791309098</v>
      </c>
      <c r="I47">
        <v>-81.361297232897897</v>
      </c>
      <c r="J47" t="s">
        <v>47</v>
      </c>
      <c r="K47" t="s">
        <v>11</v>
      </c>
      <c r="L47" t="s">
        <v>11</v>
      </c>
      <c r="M47" s="9" t="s">
        <v>439</v>
      </c>
      <c r="N47">
        <v>0</v>
      </c>
      <c r="O47">
        <v>15</v>
      </c>
      <c r="P47">
        <v>0</v>
      </c>
      <c r="Q47">
        <v>100</v>
      </c>
      <c r="R47" t="s">
        <v>393</v>
      </c>
      <c r="S47" s="9" t="s">
        <v>565</v>
      </c>
      <c r="T47" s="22">
        <v>15.7</v>
      </c>
      <c r="U47" s="22">
        <v>17.3</v>
      </c>
      <c r="V47" s="22">
        <v>19.600000000000001</v>
      </c>
      <c r="W47" s="22">
        <v>22.2</v>
      </c>
      <c r="X47" s="22">
        <v>25.4</v>
      </c>
      <c r="Y47" s="22">
        <v>27.7</v>
      </c>
      <c r="Z47" s="22">
        <v>28.7</v>
      </c>
      <c r="AA47" s="22">
        <v>28.7</v>
      </c>
      <c r="AB47" s="22">
        <v>27.6</v>
      </c>
      <c r="AC47" s="22">
        <v>24.4</v>
      </c>
      <c r="AD47" s="22">
        <v>20.5</v>
      </c>
      <c r="AE47" s="22">
        <v>17.2</v>
      </c>
      <c r="AF47" s="24">
        <f t="shared" si="50"/>
        <v>7</v>
      </c>
      <c r="AG47" s="24">
        <f t="shared" si="51"/>
        <v>31</v>
      </c>
      <c r="AH47" s="25">
        <f t="shared" si="52"/>
        <v>9.1751314113438412E-2</v>
      </c>
      <c r="AI47" s="25">
        <f t="shared" si="53"/>
        <v>0.14731176589254399</v>
      </c>
      <c r="AJ47" s="25">
        <f t="shared" si="54"/>
        <v>0.26550477620756679</v>
      </c>
      <c r="AK47" s="25">
        <f t="shared" si="55"/>
        <v>0.45375218334608242</v>
      </c>
      <c r="AL47" s="25">
        <f t="shared" si="56"/>
        <v>0.72614903707369083</v>
      </c>
      <c r="AM47" s="25">
        <f t="shared" si="57"/>
        <v>0.89482917130139872</v>
      </c>
      <c r="AN47" s="25">
        <f t="shared" si="58"/>
        <v>0.94745144204821141</v>
      </c>
      <c r="AO47" s="25">
        <f t="shared" si="59"/>
        <v>0.94745144204821141</v>
      </c>
      <c r="AP47" s="25">
        <f t="shared" si="60"/>
        <v>0.88873232666316915</v>
      </c>
      <c r="AQ47" s="25">
        <f t="shared" si="61"/>
        <v>0.6411513106136546</v>
      </c>
      <c r="AR47" s="25">
        <f t="shared" si="62"/>
        <v>0.32465246735834974</v>
      </c>
      <c r="AS47" s="25">
        <f t="shared" si="63"/>
        <v>0.14323547765935793</v>
      </c>
      <c r="AT47">
        <v>1</v>
      </c>
      <c r="AU47" s="30">
        <f t="shared" si="48"/>
        <v>7</v>
      </c>
      <c r="AV47" s="31">
        <f t="shared" si="64"/>
        <v>0</v>
      </c>
      <c r="AW47" s="31">
        <f t="shared" si="65"/>
        <v>0</v>
      </c>
      <c r="AX47" s="31">
        <f t="shared" si="66"/>
        <v>14</v>
      </c>
      <c r="AY47" s="31">
        <f t="shared" si="67"/>
        <v>14</v>
      </c>
      <c r="AZ47" s="31">
        <f t="shared" si="68"/>
        <v>10</v>
      </c>
      <c r="BA47" s="31">
        <f t="shared" si="69"/>
        <v>7</v>
      </c>
      <c r="BB47" s="31">
        <f t="shared" si="70"/>
        <v>7</v>
      </c>
      <c r="BC47" s="31">
        <f t="shared" si="71"/>
        <v>7</v>
      </c>
      <c r="BD47" s="31">
        <f t="shared" si="72"/>
        <v>7</v>
      </c>
      <c r="BE47" s="31">
        <f t="shared" si="73"/>
        <v>10</v>
      </c>
      <c r="BF47" s="31">
        <f t="shared" si="74"/>
        <v>14</v>
      </c>
      <c r="BG47" s="31">
        <f t="shared" si="75"/>
        <v>0</v>
      </c>
      <c r="BH47">
        <f t="shared" si="76"/>
        <v>0</v>
      </c>
      <c r="BI47">
        <f t="shared" si="77"/>
        <v>0</v>
      </c>
      <c r="BJ47">
        <f t="shared" si="78"/>
        <v>2</v>
      </c>
      <c r="BK47">
        <f t="shared" si="79"/>
        <v>2</v>
      </c>
      <c r="BL47">
        <f t="shared" si="80"/>
        <v>3</v>
      </c>
      <c r="BM47">
        <f t="shared" si="81"/>
        <v>4</v>
      </c>
      <c r="BN47">
        <f t="shared" si="82"/>
        <v>4</v>
      </c>
      <c r="BO47">
        <f t="shared" si="83"/>
        <v>4</v>
      </c>
      <c r="BP47">
        <f t="shared" si="84"/>
        <v>4</v>
      </c>
      <c r="BQ47">
        <f t="shared" si="85"/>
        <v>3</v>
      </c>
      <c r="BR47">
        <f t="shared" si="86"/>
        <v>2</v>
      </c>
      <c r="BS47">
        <f t="shared" si="87"/>
        <v>0</v>
      </c>
      <c r="BT47" s="4">
        <f t="shared" si="88"/>
        <v>28</v>
      </c>
      <c r="BU47" s="8" t="str">
        <f>LOOKUP(D47,'Mower Equipment EFs'!B$2:B$6,'Mower Equipment EFs'!A$2:A$6)</f>
        <v>Push Mower</v>
      </c>
      <c r="BV47" s="8">
        <f>LOOKUP(D47,'Mower Equipment EFs'!B$2:B$6,'Mower Equipment EFs'!H$2:H$6)</f>
        <v>15.88</v>
      </c>
      <c r="BW47">
        <f t="shared" si="89"/>
        <v>44.463999999999999</v>
      </c>
      <c r="BX47">
        <f t="shared" si="49"/>
        <v>4</v>
      </c>
      <c r="BY47" s="35">
        <f t="shared" si="90"/>
        <v>25.887890857302704</v>
      </c>
      <c r="BZ47">
        <f t="shared" si="91"/>
        <v>0.40680971347189959</v>
      </c>
      <c r="CA47">
        <v>0.23599999999999999</v>
      </c>
      <c r="CB47">
        <v>270</v>
      </c>
      <c r="CC47" s="5">
        <f t="shared" si="92"/>
        <v>109.8386226374129</v>
      </c>
      <c r="CD47" s="5">
        <f t="shared" si="93"/>
        <v>63.72</v>
      </c>
      <c r="CE47" s="32">
        <v>3.7810000000000001</v>
      </c>
      <c r="CF47" s="5">
        <f t="shared" si="94"/>
        <v>97.882115331461534</v>
      </c>
      <c r="CG47" s="26">
        <f t="shared" si="95"/>
        <v>252.18473796887443</v>
      </c>
      <c r="CH47" s="5">
        <f t="shared" si="96"/>
        <v>108.184</v>
      </c>
      <c r="CJ47" s="27"/>
      <c r="CK47" s="15"/>
      <c r="CL47" s="27"/>
    </row>
    <row r="48" spans="1:90">
      <c r="A48" t="s">
        <v>14</v>
      </c>
      <c r="B48" t="s">
        <v>180</v>
      </c>
      <c r="C48" t="s">
        <v>7</v>
      </c>
      <c r="D48" t="s">
        <v>9</v>
      </c>
      <c r="E48" t="s">
        <v>210</v>
      </c>
      <c r="F48" t="s">
        <v>227</v>
      </c>
      <c r="G48" t="s">
        <v>22</v>
      </c>
      <c r="H48">
        <v>33.550180463363901</v>
      </c>
      <c r="I48">
        <v>-112.083897564918</v>
      </c>
      <c r="J48" t="s">
        <v>48</v>
      </c>
      <c r="K48" t="s">
        <v>28</v>
      </c>
      <c r="L48" t="s">
        <v>444</v>
      </c>
      <c r="M48" t="s">
        <v>514</v>
      </c>
      <c r="N48">
        <v>0</v>
      </c>
      <c r="O48">
        <v>15</v>
      </c>
      <c r="P48">
        <v>0</v>
      </c>
      <c r="Q48">
        <v>74</v>
      </c>
      <c r="R48" t="s">
        <v>399</v>
      </c>
      <c r="S48" s="9" t="s">
        <v>566</v>
      </c>
      <c r="T48" s="22">
        <v>13.6</v>
      </c>
      <c r="U48" s="22">
        <v>15.4</v>
      </c>
      <c r="V48" s="22">
        <v>18.399999999999999</v>
      </c>
      <c r="W48" s="22">
        <v>22.6</v>
      </c>
      <c r="X48" s="22">
        <v>27.8</v>
      </c>
      <c r="Y48" s="22">
        <v>32.700000000000003</v>
      </c>
      <c r="Z48" s="22">
        <v>34.9</v>
      </c>
      <c r="AA48" s="22">
        <v>34.200000000000003</v>
      </c>
      <c r="AB48" s="22">
        <v>31.3</v>
      </c>
      <c r="AC48" s="22">
        <v>24.8</v>
      </c>
      <c r="AD48" s="22">
        <v>17.8</v>
      </c>
      <c r="AE48" s="22">
        <v>13</v>
      </c>
      <c r="AF48" s="24">
        <f t="shared" si="50"/>
        <v>7</v>
      </c>
      <c r="AG48" s="24">
        <f t="shared" si="51"/>
        <v>31</v>
      </c>
      <c r="AH48" s="25">
        <f t="shared" si="52"/>
        <v>4.552982127385679E-2</v>
      </c>
      <c r="AI48" s="25">
        <f t="shared" si="53"/>
        <v>8.3470224283944489E-2</v>
      </c>
      <c r="AJ48" s="25">
        <f t="shared" si="54"/>
        <v>0.19789869908361457</v>
      </c>
      <c r="AK48" s="25">
        <f t="shared" si="55"/>
        <v>0.48675225595997185</v>
      </c>
      <c r="AL48" s="25">
        <f t="shared" si="56"/>
        <v>0.90078398903334456</v>
      </c>
      <c r="AM48" s="25">
        <f t="shared" si="57"/>
        <v>0.97094078514967774</v>
      </c>
      <c r="AN48" s="25">
        <f t="shared" si="58"/>
        <v>0.85624041670930251</v>
      </c>
      <c r="AO48" s="25">
        <f t="shared" si="59"/>
        <v>0.90078398903334433</v>
      </c>
      <c r="AP48" s="25">
        <f t="shared" si="60"/>
        <v>0.99908205422329122</v>
      </c>
      <c r="AQ48" s="25">
        <f t="shared" si="61"/>
        <v>0.67553865566313176</v>
      </c>
      <c r="AR48" s="25">
        <f t="shared" si="62"/>
        <v>0.16898265817498634</v>
      </c>
      <c r="AS48" s="25">
        <f t="shared" si="63"/>
        <v>3.6658041953377997E-2</v>
      </c>
      <c r="AT48">
        <v>1</v>
      </c>
      <c r="AU48" s="30">
        <f t="shared" si="48"/>
        <v>7</v>
      </c>
      <c r="AV48" s="31">
        <f t="shared" si="64"/>
        <v>0</v>
      </c>
      <c r="AW48" s="31">
        <f t="shared" si="65"/>
        <v>0</v>
      </c>
      <c r="AX48" s="31">
        <f t="shared" si="66"/>
        <v>0</v>
      </c>
      <c r="AY48" s="31">
        <f t="shared" si="67"/>
        <v>14</v>
      </c>
      <c r="AZ48" s="31">
        <f t="shared" si="68"/>
        <v>7</v>
      </c>
      <c r="BA48" s="31">
        <f t="shared" si="69"/>
        <v>7</v>
      </c>
      <c r="BB48" s="31">
        <f t="shared" si="70"/>
        <v>7</v>
      </c>
      <c r="BC48" s="31">
        <f t="shared" si="71"/>
        <v>7</v>
      </c>
      <c r="BD48" s="31">
        <f t="shared" si="72"/>
        <v>7</v>
      </c>
      <c r="BE48" s="31">
        <f t="shared" si="73"/>
        <v>10</v>
      </c>
      <c r="BF48" s="31">
        <f t="shared" si="74"/>
        <v>0</v>
      </c>
      <c r="BG48" s="31">
        <f t="shared" si="75"/>
        <v>0</v>
      </c>
      <c r="BH48">
        <f t="shared" si="76"/>
        <v>0</v>
      </c>
      <c r="BI48">
        <f t="shared" si="77"/>
        <v>0</v>
      </c>
      <c r="BJ48">
        <f t="shared" si="78"/>
        <v>0</v>
      </c>
      <c r="BK48">
        <f t="shared" si="79"/>
        <v>2</v>
      </c>
      <c r="BL48">
        <f t="shared" si="80"/>
        <v>4</v>
      </c>
      <c r="BM48">
        <f t="shared" si="81"/>
        <v>4</v>
      </c>
      <c r="BN48">
        <f t="shared" si="82"/>
        <v>4</v>
      </c>
      <c r="BO48">
        <f t="shared" si="83"/>
        <v>4</v>
      </c>
      <c r="BP48">
        <f t="shared" si="84"/>
        <v>4</v>
      </c>
      <c r="BQ48">
        <f t="shared" si="85"/>
        <v>3</v>
      </c>
      <c r="BR48">
        <f t="shared" si="86"/>
        <v>0</v>
      </c>
      <c r="BS48">
        <f t="shared" si="87"/>
        <v>0</v>
      </c>
      <c r="BT48" s="4">
        <f t="shared" si="88"/>
        <v>25</v>
      </c>
      <c r="BU48" s="8" t="str">
        <f>LOOKUP(D48,'Mower Equipment EFs'!B$2:B$6,'Mower Equipment EFs'!A$2:A$6)</f>
        <v>Push Mower</v>
      </c>
      <c r="BV48" s="8">
        <f>LOOKUP(D48,'Mower Equipment EFs'!B$2:B$6,'Mower Equipment EFs'!H$2:H$6)</f>
        <v>15.88</v>
      </c>
      <c r="BW48">
        <f t="shared" si="89"/>
        <v>39.700000000000003</v>
      </c>
      <c r="BX48">
        <f t="shared" si="49"/>
        <v>4</v>
      </c>
      <c r="BY48" s="35">
        <f t="shared" si="90"/>
        <v>25.290646362167376</v>
      </c>
      <c r="BZ48">
        <f t="shared" si="91"/>
        <v>0.3974244428340587</v>
      </c>
      <c r="CA48">
        <v>0.23599999999999999</v>
      </c>
      <c r="CB48">
        <v>270</v>
      </c>
      <c r="CC48" s="5">
        <f t="shared" si="92"/>
        <v>107.30459956519584</v>
      </c>
      <c r="CD48" s="5">
        <f t="shared" si="93"/>
        <v>63.72</v>
      </c>
      <c r="CE48" s="32">
        <v>3.7810000000000001</v>
      </c>
      <c r="CF48" s="5">
        <f t="shared" si="94"/>
        <v>95.623933895354853</v>
      </c>
      <c r="CG48" s="26">
        <f t="shared" si="95"/>
        <v>242.62853346055073</v>
      </c>
      <c r="CH48" s="5">
        <f t="shared" si="96"/>
        <v>103.42</v>
      </c>
      <c r="CJ48" s="27"/>
      <c r="CK48" s="15"/>
      <c r="CL48" s="27"/>
    </row>
    <row r="49" spans="1:90">
      <c r="A49" s="9" t="s">
        <v>14</v>
      </c>
      <c r="B49" s="9" t="s">
        <v>201</v>
      </c>
      <c r="C49" s="9" t="s">
        <v>7</v>
      </c>
      <c r="D49" s="9" t="s">
        <v>9</v>
      </c>
      <c r="E49" s="9" t="s">
        <v>212</v>
      </c>
      <c r="F49" s="9" t="s">
        <v>226</v>
      </c>
      <c r="G49" s="9" t="s">
        <v>23</v>
      </c>
      <c r="H49" s="9">
        <v>43.682632937635503</v>
      </c>
      <c r="I49" s="9">
        <v>-70.281211857677306</v>
      </c>
      <c r="J49" s="9" t="s">
        <v>45</v>
      </c>
      <c r="K49" s="9" t="s">
        <v>448</v>
      </c>
      <c r="L49" s="9" t="s">
        <v>446</v>
      </c>
      <c r="M49" s="9" t="s">
        <v>439</v>
      </c>
      <c r="N49" s="9">
        <v>0</v>
      </c>
      <c r="O49" s="9">
        <v>15</v>
      </c>
      <c r="P49" s="9">
        <v>0</v>
      </c>
      <c r="Q49" s="9">
        <v>93</v>
      </c>
      <c r="R49" s="9" t="s">
        <v>404</v>
      </c>
      <c r="S49" s="9" t="s">
        <v>567</v>
      </c>
      <c r="T49" s="22">
        <v>-5.5</v>
      </c>
      <c r="U49" s="22">
        <v>-4.4000000000000004</v>
      </c>
      <c r="V49" s="22">
        <v>0.4</v>
      </c>
      <c r="W49" s="22">
        <v>6.2</v>
      </c>
      <c r="X49" s="22">
        <v>11.8</v>
      </c>
      <c r="Y49" s="22">
        <v>17.100000000000001</v>
      </c>
      <c r="Z49" s="22">
        <v>20.3</v>
      </c>
      <c r="AA49" s="22">
        <v>19.600000000000001</v>
      </c>
      <c r="AB49" s="22">
        <v>15.3</v>
      </c>
      <c r="AC49" s="22">
        <v>9.5</v>
      </c>
      <c r="AD49" s="22">
        <v>3.9</v>
      </c>
      <c r="AE49" s="22">
        <v>-2.7</v>
      </c>
      <c r="AF49" s="24">
        <f t="shared" si="50"/>
        <v>5.5</v>
      </c>
      <c r="AG49" s="24">
        <f t="shared" si="51"/>
        <v>20</v>
      </c>
      <c r="AH49" s="25">
        <f t="shared" si="52"/>
        <v>2.1489762816443933E-5</v>
      </c>
      <c r="AI49" s="25">
        <f t="shared" si="53"/>
        <v>5.3242098091985106E-5</v>
      </c>
      <c r="AJ49" s="25">
        <f t="shared" si="54"/>
        <v>1.7471802677552638E-3</v>
      </c>
      <c r="AK49" s="25">
        <f t="shared" si="55"/>
        <v>4.2947854078788504E-2</v>
      </c>
      <c r="AL49" s="25">
        <f t="shared" si="56"/>
        <v>0.32909626946042625</v>
      </c>
      <c r="AM49" s="25">
        <f t="shared" si="57"/>
        <v>0.87022083652079318</v>
      </c>
      <c r="AN49" s="25">
        <f t="shared" si="58"/>
        <v>0.9985135026275479</v>
      </c>
      <c r="AO49" s="25">
        <f t="shared" si="59"/>
        <v>0.99735886584897482</v>
      </c>
      <c r="AP49" s="25">
        <f t="shared" si="60"/>
        <v>0.69411059877583792</v>
      </c>
      <c r="AQ49" s="25">
        <f t="shared" si="61"/>
        <v>0.16165124878726989</v>
      </c>
      <c r="AR49" s="25">
        <f t="shared" si="62"/>
        <v>1.3781022561882666E-2</v>
      </c>
      <c r="AS49" s="25">
        <f t="shared" si="63"/>
        <v>2.0000062175528862E-4</v>
      </c>
      <c r="AT49">
        <v>1</v>
      </c>
      <c r="AU49" s="30">
        <f t="shared" si="48"/>
        <v>7</v>
      </c>
      <c r="AV49" s="31">
        <f t="shared" si="64"/>
        <v>0</v>
      </c>
      <c r="AW49" s="31">
        <f t="shared" si="65"/>
        <v>0</v>
      </c>
      <c r="AX49" s="31">
        <f t="shared" si="66"/>
        <v>0</v>
      </c>
      <c r="AY49" s="31">
        <f t="shared" si="67"/>
        <v>0</v>
      </c>
      <c r="AZ49" s="31">
        <f t="shared" si="68"/>
        <v>14</v>
      </c>
      <c r="BA49" s="31">
        <f t="shared" si="69"/>
        <v>7</v>
      </c>
      <c r="BB49" s="31">
        <f t="shared" si="70"/>
        <v>7</v>
      </c>
      <c r="BC49" s="31">
        <f t="shared" si="71"/>
        <v>7</v>
      </c>
      <c r="BD49" s="31">
        <f t="shared" si="72"/>
        <v>10</v>
      </c>
      <c r="BE49" s="31">
        <f t="shared" si="73"/>
        <v>0</v>
      </c>
      <c r="BF49" s="31">
        <f t="shared" si="74"/>
        <v>0</v>
      </c>
      <c r="BG49" s="31">
        <f t="shared" si="75"/>
        <v>0</v>
      </c>
      <c r="BH49">
        <f t="shared" si="76"/>
        <v>0</v>
      </c>
      <c r="BI49">
        <f t="shared" si="77"/>
        <v>0</v>
      </c>
      <c r="BJ49">
        <f t="shared" si="78"/>
        <v>0</v>
      </c>
      <c r="BK49">
        <f t="shared" si="79"/>
        <v>0</v>
      </c>
      <c r="BL49">
        <f t="shared" si="80"/>
        <v>2</v>
      </c>
      <c r="BM49">
        <f t="shared" si="81"/>
        <v>4</v>
      </c>
      <c r="BN49">
        <f t="shared" si="82"/>
        <v>4</v>
      </c>
      <c r="BO49">
        <f t="shared" si="83"/>
        <v>4</v>
      </c>
      <c r="BP49">
        <f t="shared" si="84"/>
        <v>3</v>
      </c>
      <c r="BQ49">
        <f t="shared" si="85"/>
        <v>0</v>
      </c>
      <c r="BR49">
        <f t="shared" si="86"/>
        <v>0</v>
      </c>
      <c r="BS49">
        <f t="shared" si="87"/>
        <v>0</v>
      </c>
      <c r="BT49" s="4">
        <f t="shared" si="88"/>
        <v>17</v>
      </c>
      <c r="BU49" s="8" t="str">
        <f>LOOKUP(D49,'Mower Equipment EFs'!B$2:B$6,'Mower Equipment EFs'!A$2:A$6)</f>
        <v>Push Mower</v>
      </c>
      <c r="BV49" s="8">
        <f>LOOKUP(D49,'Mower Equipment EFs'!B$2:B$6,'Mower Equipment EFs'!H$2:H$6)</f>
        <v>15.88</v>
      </c>
      <c r="BW49">
        <f t="shared" si="89"/>
        <v>26.996000000000002</v>
      </c>
      <c r="BX49">
        <f t="shared" si="49"/>
        <v>3.5</v>
      </c>
      <c r="BY49" s="35">
        <f t="shared" si="90"/>
        <v>14.383957389941791</v>
      </c>
      <c r="BZ49">
        <f t="shared" si="91"/>
        <v>0.22603361612765674</v>
      </c>
      <c r="CA49">
        <v>0.23599999999999999</v>
      </c>
      <c r="CB49">
        <v>270</v>
      </c>
      <c r="CC49" s="5">
        <f t="shared" si="92"/>
        <v>61.029076354467321</v>
      </c>
      <c r="CD49" s="5">
        <f t="shared" si="93"/>
        <v>63.72</v>
      </c>
      <c r="CE49" s="32">
        <v>3.7810000000000001</v>
      </c>
      <c r="CF49" s="5">
        <f t="shared" si="94"/>
        <v>54.385742891369915</v>
      </c>
      <c r="CG49" s="26">
        <f t="shared" si="95"/>
        <v>142.41081924583725</v>
      </c>
      <c r="CH49" s="5">
        <f t="shared" si="96"/>
        <v>90.716000000000008</v>
      </c>
      <c r="CJ49" s="27"/>
      <c r="CK49" s="15"/>
      <c r="CL49" s="27"/>
    </row>
    <row r="50" spans="1:90">
      <c r="A50" t="s">
        <v>14</v>
      </c>
      <c r="B50" t="s">
        <v>181</v>
      </c>
      <c r="C50" t="s">
        <v>7</v>
      </c>
      <c r="D50" t="s">
        <v>9</v>
      </c>
      <c r="E50" s="9" t="s">
        <v>214</v>
      </c>
      <c r="F50" s="9" t="s">
        <v>226</v>
      </c>
      <c r="G50" t="s">
        <v>24</v>
      </c>
      <c r="H50">
        <v>37.748178496423897</v>
      </c>
      <c r="I50">
        <v>-122.429706277874</v>
      </c>
      <c r="J50" t="s">
        <v>51</v>
      </c>
      <c r="K50" t="s">
        <v>52</v>
      </c>
      <c r="L50" t="s">
        <v>445</v>
      </c>
      <c r="M50" s="9" t="s">
        <v>439</v>
      </c>
      <c r="N50">
        <v>0</v>
      </c>
      <c r="O50">
        <v>15</v>
      </c>
      <c r="P50">
        <v>0</v>
      </c>
      <c r="Q50">
        <v>83</v>
      </c>
      <c r="R50" t="s">
        <v>410</v>
      </c>
      <c r="S50" s="9" t="s">
        <v>568</v>
      </c>
      <c r="T50" s="22">
        <v>10.6</v>
      </c>
      <c r="U50" s="22">
        <v>12.2</v>
      </c>
      <c r="V50" s="22">
        <v>12.9</v>
      </c>
      <c r="W50" s="22">
        <v>13.4</v>
      </c>
      <c r="X50" s="22">
        <v>14.2</v>
      </c>
      <c r="Y50" s="22">
        <v>15.3</v>
      </c>
      <c r="Z50" s="22">
        <v>15.4</v>
      </c>
      <c r="AA50" s="22">
        <v>15.9</v>
      </c>
      <c r="AB50" s="22">
        <v>17.100000000000001</v>
      </c>
      <c r="AC50" s="22">
        <v>16.600000000000001</v>
      </c>
      <c r="AD50" s="22">
        <v>14.1</v>
      </c>
      <c r="AE50" s="22">
        <v>11.1</v>
      </c>
      <c r="AF50" s="24">
        <f t="shared" si="50"/>
        <v>5.5</v>
      </c>
      <c r="AG50" s="24">
        <f t="shared" si="51"/>
        <v>20</v>
      </c>
      <c r="AH50" s="25">
        <f t="shared" si="52"/>
        <v>0.23212114479339307</v>
      </c>
      <c r="AI50" s="25">
        <f t="shared" si="53"/>
        <v>0.36581781793542811</v>
      </c>
      <c r="AJ50" s="25">
        <f t="shared" si="54"/>
        <v>0.43464610075547405</v>
      </c>
      <c r="AK50" s="25">
        <f t="shared" si="55"/>
        <v>0.48675225595997168</v>
      </c>
      <c r="AL50" s="25">
        <f t="shared" si="56"/>
        <v>0.57347951756177595</v>
      </c>
      <c r="AM50" s="25">
        <f t="shared" si="57"/>
        <v>0.69411059877583792</v>
      </c>
      <c r="AN50" s="25">
        <f t="shared" si="58"/>
        <v>0.70486282743482087</v>
      </c>
      <c r="AO50" s="25">
        <f t="shared" si="59"/>
        <v>0.75740948561961707</v>
      </c>
      <c r="AP50" s="25">
        <f t="shared" si="60"/>
        <v>0.87022083652079318</v>
      </c>
      <c r="AQ50" s="25">
        <f t="shared" si="61"/>
        <v>0.82607114255793146</v>
      </c>
      <c r="AR50" s="25">
        <f t="shared" si="62"/>
        <v>0.56249563731029584</v>
      </c>
      <c r="AS50" s="25">
        <f t="shared" si="63"/>
        <v>0.27002082364486329</v>
      </c>
      <c r="AT50">
        <v>1</v>
      </c>
      <c r="AU50" s="30">
        <f t="shared" si="48"/>
        <v>7</v>
      </c>
      <c r="AV50" s="31">
        <f t="shared" si="64"/>
        <v>14</v>
      </c>
      <c r="AW50" s="31">
        <f t="shared" si="65"/>
        <v>14</v>
      </c>
      <c r="AX50" s="31">
        <f t="shared" si="66"/>
        <v>14</v>
      </c>
      <c r="AY50" s="31">
        <f t="shared" si="67"/>
        <v>14</v>
      </c>
      <c r="AZ50" s="31">
        <f t="shared" si="68"/>
        <v>10</v>
      </c>
      <c r="BA50" s="31">
        <f t="shared" si="69"/>
        <v>10</v>
      </c>
      <c r="BB50" s="31">
        <f t="shared" si="70"/>
        <v>10</v>
      </c>
      <c r="BC50" s="31">
        <f t="shared" si="71"/>
        <v>7</v>
      </c>
      <c r="BD50" s="31">
        <f t="shared" si="72"/>
        <v>7</v>
      </c>
      <c r="BE50" s="31">
        <f t="shared" si="73"/>
        <v>7</v>
      </c>
      <c r="BF50" s="31">
        <f t="shared" si="74"/>
        <v>10</v>
      </c>
      <c r="BG50" s="31">
        <f t="shared" si="75"/>
        <v>14</v>
      </c>
      <c r="BH50">
        <f t="shared" si="76"/>
        <v>2</v>
      </c>
      <c r="BI50">
        <f t="shared" si="77"/>
        <v>2</v>
      </c>
      <c r="BJ50">
        <f t="shared" si="78"/>
        <v>2</v>
      </c>
      <c r="BK50">
        <f t="shared" si="79"/>
        <v>2</v>
      </c>
      <c r="BL50">
        <f t="shared" si="80"/>
        <v>3</v>
      </c>
      <c r="BM50">
        <f t="shared" si="81"/>
        <v>3</v>
      </c>
      <c r="BN50">
        <f t="shared" si="82"/>
        <v>3</v>
      </c>
      <c r="BO50">
        <f t="shared" si="83"/>
        <v>4</v>
      </c>
      <c r="BP50">
        <f t="shared" si="84"/>
        <v>4</v>
      </c>
      <c r="BQ50">
        <f t="shared" si="85"/>
        <v>4</v>
      </c>
      <c r="BR50">
        <f t="shared" si="86"/>
        <v>3</v>
      </c>
      <c r="BS50">
        <f t="shared" si="87"/>
        <v>2</v>
      </c>
      <c r="BT50" s="4">
        <f t="shared" si="88"/>
        <v>34</v>
      </c>
      <c r="BU50" s="8" t="str">
        <f>LOOKUP(D50,'Mower Equipment EFs'!B$2:B$6,'Mower Equipment EFs'!A$2:A$6)</f>
        <v>Push Mower</v>
      </c>
      <c r="BV50" s="8">
        <f>LOOKUP(D50,'Mower Equipment EFs'!B$2:B$6,'Mower Equipment EFs'!H$2:H$6)</f>
        <v>15.88</v>
      </c>
      <c r="BW50">
        <f t="shared" si="89"/>
        <v>53.992000000000004</v>
      </c>
      <c r="BX50">
        <f t="shared" si="49"/>
        <v>3.5</v>
      </c>
      <c r="BY50" s="35">
        <f t="shared" si="90"/>
        <v>23.72302866104571</v>
      </c>
      <c r="BZ50">
        <f t="shared" si="91"/>
        <v>0.37279045038786118</v>
      </c>
      <c r="CA50">
        <v>0.23599999999999999</v>
      </c>
      <c r="CB50">
        <v>270</v>
      </c>
      <c r="CC50" s="5">
        <f t="shared" si="92"/>
        <v>100.65342160472252</v>
      </c>
      <c r="CD50" s="5">
        <f t="shared" si="93"/>
        <v>63.72</v>
      </c>
      <c r="CE50" s="32">
        <v>3.7810000000000001</v>
      </c>
      <c r="CF50" s="5">
        <f t="shared" si="94"/>
        <v>89.696771367413831</v>
      </c>
      <c r="CG50" s="26">
        <f t="shared" si="95"/>
        <v>244.34219297213633</v>
      </c>
      <c r="CH50" s="5">
        <f t="shared" si="96"/>
        <v>117.712</v>
      </c>
      <c r="CJ50" s="27"/>
      <c r="CK50" s="15"/>
      <c r="CL50" s="27"/>
    </row>
    <row r="51" spans="1:90">
      <c r="A51" t="s">
        <v>14</v>
      </c>
      <c r="B51" t="s">
        <v>183</v>
      </c>
      <c r="C51" t="s">
        <v>7</v>
      </c>
      <c r="D51" t="s">
        <v>9</v>
      </c>
      <c r="E51" s="9" t="s">
        <v>214</v>
      </c>
      <c r="F51" s="9" t="s">
        <v>226</v>
      </c>
      <c r="G51" t="s">
        <v>25</v>
      </c>
      <c r="H51">
        <v>47.611091594514299</v>
      </c>
      <c r="I51">
        <v>-122.31048811436</v>
      </c>
      <c r="J51" t="s">
        <v>42</v>
      </c>
      <c r="K51" t="s">
        <v>43</v>
      </c>
      <c r="L51" t="s">
        <v>445</v>
      </c>
      <c r="M51" s="9" t="s">
        <v>439</v>
      </c>
      <c r="N51">
        <v>0</v>
      </c>
      <c r="O51">
        <v>15</v>
      </c>
      <c r="P51">
        <v>0</v>
      </c>
      <c r="Q51">
        <v>83</v>
      </c>
      <c r="R51" t="s">
        <v>420</v>
      </c>
      <c r="S51" s="9" t="s">
        <v>569</v>
      </c>
      <c r="T51" s="22">
        <v>5.6</v>
      </c>
      <c r="U51" s="22">
        <v>6.3</v>
      </c>
      <c r="V51" s="22">
        <v>8.1</v>
      </c>
      <c r="W51" s="22">
        <v>10.199999999999999</v>
      </c>
      <c r="X51" s="22">
        <v>13.3</v>
      </c>
      <c r="Y51" s="22">
        <v>16.100000000000001</v>
      </c>
      <c r="Z51" s="22">
        <v>18.7</v>
      </c>
      <c r="AA51" s="22">
        <v>18.899999999999999</v>
      </c>
      <c r="AB51" s="22">
        <v>16.3</v>
      </c>
      <c r="AC51" s="22">
        <v>11.6</v>
      </c>
      <c r="AD51" s="22">
        <v>7.4</v>
      </c>
      <c r="AE51" s="22">
        <v>4.8</v>
      </c>
      <c r="AF51" s="24">
        <f t="shared" si="50"/>
        <v>5.5</v>
      </c>
      <c r="AG51" s="24">
        <f t="shared" si="51"/>
        <v>20</v>
      </c>
      <c r="AH51" s="25">
        <f t="shared" si="52"/>
        <v>3.2470021960717119E-2</v>
      </c>
      <c r="AI51" s="25">
        <f t="shared" si="53"/>
        <v>4.4945076827700235E-2</v>
      </c>
      <c r="AJ51" s="25">
        <f t="shared" si="54"/>
        <v>9.6263971584939392E-2</v>
      </c>
      <c r="AK51" s="25">
        <f t="shared" si="55"/>
        <v>0.20444873561203109</v>
      </c>
      <c r="AL51" s="25">
        <f t="shared" si="56"/>
        <v>0.47616851177085751</v>
      </c>
      <c r="AM51" s="25">
        <f t="shared" si="57"/>
        <v>0.77770736843409005</v>
      </c>
      <c r="AN51" s="25">
        <f t="shared" si="58"/>
        <v>0.97245265906654144</v>
      </c>
      <c r="AO51" s="25">
        <f t="shared" si="59"/>
        <v>0.98019867330675525</v>
      </c>
      <c r="AP51" s="25">
        <f t="shared" si="60"/>
        <v>0.7974939809613254</v>
      </c>
      <c r="AQ51" s="25">
        <f t="shared" si="61"/>
        <v>0.3115233474943721</v>
      </c>
      <c r="AR51" s="25">
        <f t="shared" si="62"/>
        <v>7.2502645262706653E-2</v>
      </c>
      <c r="AS51" s="25">
        <f t="shared" si="63"/>
        <v>2.195318658666652E-2</v>
      </c>
      <c r="AT51">
        <v>1</v>
      </c>
      <c r="AU51" s="30">
        <f t="shared" si="48"/>
        <v>7</v>
      </c>
      <c r="AV51" s="31">
        <f t="shared" si="64"/>
        <v>0</v>
      </c>
      <c r="AW51" s="31">
        <f t="shared" si="65"/>
        <v>0</v>
      </c>
      <c r="AX51" s="31">
        <f t="shared" si="66"/>
        <v>0</v>
      </c>
      <c r="AY51" s="31">
        <f t="shared" si="67"/>
        <v>14</v>
      </c>
      <c r="AZ51" s="31">
        <f t="shared" si="68"/>
        <v>14</v>
      </c>
      <c r="BA51" s="31">
        <f t="shared" si="69"/>
        <v>7</v>
      </c>
      <c r="BB51" s="31">
        <f t="shared" si="70"/>
        <v>7</v>
      </c>
      <c r="BC51" s="31">
        <f t="shared" si="71"/>
        <v>7</v>
      </c>
      <c r="BD51" s="31">
        <f t="shared" si="72"/>
        <v>7</v>
      </c>
      <c r="BE51" s="31">
        <f t="shared" si="73"/>
        <v>14</v>
      </c>
      <c r="BF51" s="31">
        <f t="shared" si="74"/>
        <v>0</v>
      </c>
      <c r="BG51" s="31">
        <f t="shared" si="75"/>
        <v>0</v>
      </c>
      <c r="BH51">
        <f t="shared" si="76"/>
        <v>0</v>
      </c>
      <c r="BI51">
        <f t="shared" si="77"/>
        <v>0</v>
      </c>
      <c r="BJ51">
        <f t="shared" si="78"/>
        <v>0</v>
      </c>
      <c r="BK51">
        <f t="shared" si="79"/>
        <v>2</v>
      </c>
      <c r="BL51">
        <f t="shared" si="80"/>
        <v>2</v>
      </c>
      <c r="BM51">
        <f t="shared" si="81"/>
        <v>4</v>
      </c>
      <c r="BN51">
        <f t="shared" si="82"/>
        <v>4</v>
      </c>
      <c r="BO51">
        <f t="shared" si="83"/>
        <v>4</v>
      </c>
      <c r="BP51">
        <f t="shared" si="84"/>
        <v>4</v>
      </c>
      <c r="BQ51">
        <f t="shared" si="85"/>
        <v>2</v>
      </c>
      <c r="BR51">
        <f t="shared" si="86"/>
        <v>0</v>
      </c>
      <c r="BS51">
        <f t="shared" si="87"/>
        <v>0</v>
      </c>
      <c r="BT51" s="4">
        <f t="shared" si="88"/>
        <v>22</v>
      </c>
      <c r="BU51" s="8" t="str">
        <f>LOOKUP(D51,'Mower Equipment EFs'!B$2:B$6,'Mower Equipment EFs'!A$2:A$6)</f>
        <v>Push Mower</v>
      </c>
      <c r="BV51" s="8">
        <f>LOOKUP(D51,'Mower Equipment EFs'!B$2:B$6,'Mower Equipment EFs'!H$2:H$6)</f>
        <v>15.88</v>
      </c>
      <c r="BW51">
        <f t="shared" si="89"/>
        <v>34.936</v>
      </c>
      <c r="BX51">
        <f t="shared" si="49"/>
        <v>3.5</v>
      </c>
      <c r="BY51" s="35">
        <f t="shared" si="90"/>
        <v>16.758448626040462</v>
      </c>
      <c r="BZ51">
        <f t="shared" si="91"/>
        <v>0.26334704983777868</v>
      </c>
      <c r="CA51">
        <v>0.23599999999999999</v>
      </c>
      <c r="CB51">
        <v>270</v>
      </c>
      <c r="CC51" s="5">
        <f t="shared" si="92"/>
        <v>71.10370345620025</v>
      </c>
      <c r="CD51" s="5">
        <f t="shared" si="93"/>
        <v>63.72</v>
      </c>
      <c r="CE51" s="32">
        <v>3.7810000000000001</v>
      </c>
      <c r="CF51" s="5">
        <f t="shared" si="94"/>
        <v>63.363694255058988</v>
      </c>
      <c r="CG51" s="26">
        <f t="shared" si="95"/>
        <v>169.40339771125923</v>
      </c>
      <c r="CH51" s="5">
        <f t="shared" si="96"/>
        <v>98.656000000000006</v>
      </c>
      <c r="CJ51" s="27"/>
      <c r="CK51" s="15"/>
      <c r="CL51" s="27"/>
    </row>
    <row r="52" spans="1:90">
      <c r="A52" t="s">
        <v>14</v>
      </c>
      <c r="B52" t="s">
        <v>178</v>
      </c>
      <c r="C52" t="s">
        <v>7</v>
      </c>
      <c r="D52" t="s">
        <v>9</v>
      </c>
      <c r="E52" s="9" t="s">
        <v>215</v>
      </c>
      <c r="F52" s="9" t="s">
        <v>227</v>
      </c>
      <c r="G52" t="s">
        <v>37</v>
      </c>
      <c r="H52">
        <v>37.721871761637303</v>
      </c>
      <c r="I52">
        <v>-97.288554689402005</v>
      </c>
      <c r="J52" t="s">
        <v>46</v>
      </c>
      <c r="K52" t="s">
        <v>447</v>
      </c>
      <c r="L52" t="s">
        <v>512</v>
      </c>
      <c r="M52" s="9" t="s">
        <v>517</v>
      </c>
      <c r="N52">
        <v>0</v>
      </c>
      <c r="O52">
        <v>15</v>
      </c>
      <c r="P52">
        <v>0</v>
      </c>
      <c r="Q52">
        <v>93</v>
      </c>
      <c r="R52" t="s">
        <v>422</v>
      </c>
      <c r="S52" s="9" t="s">
        <v>570</v>
      </c>
      <c r="T52" s="22">
        <v>0.1</v>
      </c>
      <c r="U52" s="22">
        <v>2.9</v>
      </c>
      <c r="V52" s="22">
        <v>8.1</v>
      </c>
      <c r="W52" s="22">
        <v>13.4</v>
      </c>
      <c r="X52" s="22">
        <v>18.899999999999999</v>
      </c>
      <c r="Y52" s="22">
        <v>24.3</v>
      </c>
      <c r="Z52" s="22">
        <v>27.3</v>
      </c>
      <c r="AA52" s="22">
        <v>26.7</v>
      </c>
      <c r="AB52" s="22">
        <v>21.7</v>
      </c>
      <c r="AC52" s="22">
        <v>14.6</v>
      </c>
      <c r="AD52" s="22">
        <v>7.4</v>
      </c>
      <c r="AE52" s="22">
        <v>1</v>
      </c>
      <c r="AF52" s="24">
        <f t="shared" si="50"/>
        <v>7</v>
      </c>
      <c r="AG52" s="24">
        <f t="shared" si="51"/>
        <v>31</v>
      </c>
      <c r="AH52" s="25">
        <f t="shared" si="52"/>
        <v>5.8706554071577522E-5</v>
      </c>
      <c r="AI52" s="25">
        <f t="shared" si="53"/>
        <v>3.1679841602449488E-4</v>
      </c>
      <c r="AJ52" s="25">
        <f t="shared" si="54"/>
        <v>4.7428244321264888E-3</v>
      </c>
      <c r="AK52" s="25">
        <f t="shared" si="55"/>
        <v>4.2391121954664365E-2</v>
      </c>
      <c r="AL52" s="25">
        <f t="shared" si="56"/>
        <v>0.22447754662462679</v>
      </c>
      <c r="AM52" s="25">
        <f t="shared" si="57"/>
        <v>0.6325087499963693</v>
      </c>
      <c r="AN52" s="25">
        <f t="shared" si="58"/>
        <v>0.86962440620921833</v>
      </c>
      <c r="AO52" s="25">
        <f t="shared" si="59"/>
        <v>0.82805684846460248</v>
      </c>
      <c r="AP52" s="25">
        <f t="shared" si="60"/>
        <v>0.41372614050444023</v>
      </c>
      <c r="AQ52" s="25">
        <f t="shared" si="61"/>
        <v>6.4281089053485257E-2</v>
      </c>
      <c r="AR52" s="25">
        <f t="shared" si="62"/>
        <v>3.4024303083821229E-3</v>
      </c>
      <c r="AS52" s="25">
        <f t="shared" si="63"/>
        <v>1.027025646196554E-4</v>
      </c>
      <c r="AT52">
        <v>1</v>
      </c>
      <c r="AU52" s="30">
        <f t="shared" si="48"/>
        <v>7</v>
      </c>
      <c r="AV52" s="31">
        <f t="shared" si="64"/>
        <v>0</v>
      </c>
      <c r="AW52" s="31">
        <f t="shared" si="65"/>
        <v>0</v>
      </c>
      <c r="AX52" s="31">
        <f t="shared" si="66"/>
        <v>0</v>
      </c>
      <c r="AY52" s="31">
        <f t="shared" si="67"/>
        <v>0</v>
      </c>
      <c r="AZ52" s="31">
        <f t="shared" si="68"/>
        <v>14</v>
      </c>
      <c r="BA52" s="31">
        <f t="shared" si="69"/>
        <v>10</v>
      </c>
      <c r="BB52" s="31">
        <f t="shared" si="70"/>
        <v>7</v>
      </c>
      <c r="BC52" s="31">
        <f t="shared" si="71"/>
        <v>7</v>
      </c>
      <c r="BD52" s="31">
        <f t="shared" si="72"/>
        <v>14</v>
      </c>
      <c r="BE52" s="31">
        <f t="shared" si="73"/>
        <v>0</v>
      </c>
      <c r="BF52" s="31">
        <f t="shared" si="74"/>
        <v>0</v>
      </c>
      <c r="BG52" s="31">
        <f t="shared" si="75"/>
        <v>0</v>
      </c>
      <c r="BH52">
        <f t="shared" si="76"/>
        <v>0</v>
      </c>
      <c r="BI52">
        <f t="shared" si="77"/>
        <v>0</v>
      </c>
      <c r="BJ52">
        <f t="shared" si="78"/>
        <v>0</v>
      </c>
      <c r="BK52">
        <f t="shared" si="79"/>
        <v>0</v>
      </c>
      <c r="BL52">
        <f t="shared" si="80"/>
        <v>2</v>
      </c>
      <c r="BM52">
        <f t="shared" si="81"/>
        <v>3</v>
      </c>
      <c r="BN52">
        <f t="shared" si="82"/>
        <v>4</v>
      </c>
      <c r="BO52">
        <f t="shared" si="83"/>
        <v>4</v>
      </c>
      <c r="BP52">
        <f t="shared" si="84"/>
        <v>2</v>
      </c>
      <c r="BQ52">
        <f t="shared" si="85"/>
        <v>0</v>
      </c>
      <c r="BR52">
        <f t="shared" si="86"/>
        <v>0</v>
      </c>
      <c r="BS52">
        <f t="shared" si="87"/>
        <v>0</v>
      </c>
      <c r="BT52" s="4">
        <f t="shared" si="88"/>
        <v>15</v>
      </c>
      <c r="BU52" s="8" t="str">
        <f>LOOKUP(D52,'Mower Equipment EFs'!B$2:B$6,'Mower Equipment EFs'!A$2:A$6)</f>
        <v>Push Mower</v>
      </c>
      <c r="BV52" s="8">
        <f>LOOKUP(D52,'Mower Equipment EFs'!B$2:B$6,'Mower Equipment EFs'!H$2:H$6)</f>
        <v>15.88</v>
      </c>
      <c r="BW52">
        <f t="shared" si="89"/>
        <v>23.82</v>
      </c>
      <c r="BX52">
        <f t="shared" si="49"/>
        <v>4</v>
      </c>
      <c r="BY52" s="35">
        <f t="shared" si="90"/>
        <v>12.334757460330525</v>
      </c>
      <c r="BZ52">
        <f t="shared" si="91"/>
        <v>0.19383190294805111</v>
      </c>
      <c r="CA52">
        <v>0.23599999999999999</v>
      </c>
      <c r="CB52">
        <v>270</v>
      </c>
      <c r="CC52" s="5">
        <f t="shared" si="92"/>
        <v>52.334613795973802</v>
      </c>
      <c r="CD52" s="5">
        <f t="shared" si="93"/>
        <v>63.72</v>
      </c>
      <c r="CE52" s="32">
        <v>3.7810000000000001</v>
      </c>
      <c r="CF52" s="5">
        <f t="shared" si="94"/>
        <v>46.637717957509722</v>
      </c>
      <c r="CG52" s="26">
        <f t="shared" si="95"/>
        <v>122.79233175348352</v>
      </c>
      <c r="CH52" s="5">
        <f t="shared" si="96"/>
        <v>87.539999999999992</v>
      </c>
      <c r="CJ52" s="27"/>
      <c r="CK52" s="15"/>
      <c r="CL52" s="27"/>
    </row>
    <row r="53" spans="1:90">
      <c r="A53" t="s">
        <v>14</v>
      </c>
      <c r="B53" t="s">
        <v>182</v>
      </c>
      <c r="C53" t="s">
        <v>7</v>
      </c>
      <c r="D53" t="s">
        <v>9</v>
      </c>
      <c r="E53" s="9" t="s">
        <v>212</v>
      </c>
      <c r="F53" s="9" t="s">
        <v>226</v>
      </c>
      <c r="G53" t="s">
        <v>26</v>
      </c>
      <c r="H53">
        <v>40.805317560084902</v>
      </c>
      <c r="I53">
        <v>-81.939523406262097</v>
      </c>
      <c r="J53" t="s">
        <v>46</v>
      </c>
      <c r="K53" t="s">
        <v>447</v>
      </c>
      <c r="L53" t="s">
        <v>512</v>
      </c>
      <c r="M53" s="9" t="s">
        <v>517</v>
      </c>
      <c r="N53">
        <v>0</v>
      </c>
      <c r="O53">
        <v>15</v>
      </c>
      <c r="P53">
        <v>0</v>
      </c>
      <c r="Q53">
        <v>100</v>
      </c>
      <c r="R53" t="s">
        <v>428</v>
      </c>
      <c r="S53" s="9" t="s">
        <v>571</v>
      </c>
      <c r="T53" s="22">
        <v>-2.9</v>
      </c>
      <c r="U53" s="22">
        <v>-1.6</v>
      </c>
      <c r="V53" s="22">
        <v>3.3</v>
      </c>
      <c r="W53" s="22">
        <v>9.6999999999999993</v>
      </c>
      <c r="X53" s="22">
        <v>15.3</v>
      </c>
      <c r="Y53" s="22">
        <v>20.2</v>
      </c>
      <c r="Z53" s="22">
        <v>22.1</v>
      </c>
      <c r="AA53" s="22">
        <v>20.8</v>
      </c>
      <c r="AB53" s="22">
        <v>17</v>
      </c>
      <c r="AC53" s="22">
        <v>10.9</v>
      </c>
      <c r="AD53" s="22">
        <v>5.3</v>
      </c>
      <c r="AE53" s="22">
        <v>-0.5</v>
      </c>
      <c r="AF53" s="24">
        <f t="shared" si="50"/>
        <v>5.5</v>
      </c>
      <c r="AG53" s="24">
        <f t="shared" si="51"/>
        <v>20</v>
      </c>
      <c r="AH53" s="25">
        <f t="shared" si="52"/>
        <v>1.7201413843982773E-4</v>
      </c>
      <c r="AI53" s="25">
        <f t="shared" si="53"/>
        <v>4.4754407333923065E-4</v>
      </c>
      <c r="AJ53" s="25">
        <f t="shared" si="54"/>
        <v>9.9542860067177597E-3</v>
      </c>
      <c r="AK53" s="25">
        <f t="shared" si="55"/>
        <v>0.1731574956743096</v>
      </c>
      <c r="AL53" s="25">
        <f t="shared" si="56"/>
        <v>0.69411059877583792</v>
      </c>
      <c r="AM53" s="25">
        <f t="shared" si="57"/>
        <v>0.99933906149135188</v>
      </c>
      <c r="AN53" s="25">
        <f t="shared" si="58"/>
        <v>0.92970070986048381</v>
      </c>
      <c r="AO53" s="25">
        <f t="shared" si="59"/>
        <v>0.98947724328830844</v>
      </c>
      <c r="AP53" s="25">
        <f t="shared" si="60"/>
        <v>0.86177563141715641</v>
      </c>
      <c r="AQ53" s="25">
        <f t="shared" si="61"/>
        <v>0.25442216351433483</v>
      </c>
      <c r="AR53" s="25">
        <f t="shared" si="62"/>
        <v>2.8107030528572198E-2</v>
      </c>
      <c r="AS53" s="25">
        <f t="shared" si="63"/>
        <v>9.6220696343136567E-4</v>
      </c>
      <c r="AT53">
        <v>1</v>
      </c>
      <c r="AU53" s="30">
        <f t="shared" si="48"/>
        <v>7</v>
      </c>
      <c r="AV53" s="31">
        <f t="shared" si="64"/>
        <v>0</v>
      </c>
      <c r="AW53" s="31">
        <f t="shared" si="65"/>
        <v>0</v>
      </c>
      <c r="AX53" s="31">
        <f t="shared" si="66"/>
        <v>0</v>
      </c>
      <c r="AY53" s="31">
        <f t="shared" si="67"/>
        <v>0</v>
      </c>
      <c r="AZ53" s="31">
        <f t="shared" si="68"/>
        <v>10</v>
      </c>
      <c r="BA53" s="31">
        <f t="shared" si="69"/>
        <v>7</v>
      </c>
      <c r="BB53" s="31">
        <f t="shared" si="70"/>
        <v>7</v>
      </c>
      <c r="BC53" s="31">
        <f t="shared" si="71"/>
        <v>7</v>
      </c>
      <c r="BD53" s="31">
        <f t="shared" si="72"/>
        <v>7</v>
      </c>
      <c r="BE53" s="31">
        <f t="shared" si="73"/>
        <v>14</v>
      </c>
      <c r="BF53" s="31">
        <f t="shared" si="74"/>
        <v>0</v>
      </c>
      <c r="BG53" s="31">
        <f t="shared" si="75"/>
        <v>0</v>
      </c>
      <c r="BH53">
        <f t="shared" si="76"/>
        <v>0</v>
      </c>
      <c r="BI53">
        <f t="shared" si="77"/>
        <v>0</v>
      </c>
      <c r="BJ53">
        <f t="shared" si="78"/>
        <v>0</v>
      </c>
      <c r="BK53">
        <f t="shared" si="79"/>
        <v>0</v>
      </c>
      <c r="BL53">
        <f t="shared" si="80"/>
        <v>3</v>
      </c>
      <c r="BM53">
        <f t="shared" si="81"/>
        <v>4</v>
      </c>
      <c r="BN53">
        <f t="shared" si="82"/>
        <v>4</v>
      </c>
      <c r="BO53">
        <f t="shared" si="83"/>
        <v>4</v>
      </c>
      <c r="BP53">
        <f t="shared" si="84"/>
        <v>4</v>
      </c>
      <c r="BQ53">
        <f t="shared" si="85"/>
        <v>2</v>
      </c>
      <c r="BR53">
        <f t="shared" si="86"/>
        <v>0</v>
      </c>
      <c r="BS53">
        <f t="shared" si="87"/>
        <v>0</v>
      </c>
      <c r="BT53" s="4">
        <f t="shared" si="88"/>
        <v>21</v>
      </c>
      <c r="BU53" s="8" t="str">
        <f>LOOKUP(D53,'Mower Equipment EFs'!B$2:B$6,'Mower Equipment EFs'!A$2:A$6)</f>
        <v>Push Mower</v>
      </c>
      <c r="BV53" s="8">
        <f>LOOKUP(D53,'Mower Equipment EFs'!B$2:B$6,'Mower Equipment EFs'!H$2:H$6)</f>
        <v>15.88</v>
      </c>
      <c r="BW53">
        <f t="shared" si="89"/>
        <v>33.347999999999999</v>
      </c>
      <c r="BX53">
        <f t="shared" si="49"/>
        <v>3.5</v>
      </c>
      <c r="BY53" s="35">
        <f t="shared" si="90"/>
        <v>17.295690950062991</v>
      </c>
      <c r="BZ53">
        <f t="shared" si="91"/>
        <v>0.2717894292152756</v>
      </c>
      <c r="CA53">
        <v>0.23599999999999999</v>
      </c>
      <c r="CB53">
        <v>270</v>
      </c>
      <c r="CC53" s="5">
        <f t="shared" si="92"/>
        <v>73.383145888124417</v>
      </c>
      <c r="CD53" s="5">
        <f t="shared" si="93"/>
        <v>63.72</v>
      </c>
      <c r="CE53" s="32">
        <v>3.7810000000000001</v>
      </c>
      <c r="CF53" s="5">
        <f t="shared" si="94"/>
        <v>65.395007482188163</v>
      </c>
      <c r="CG53" s="26">
        <f t="shared" si="95"/>
        <v>172.12615337031258</v>
      </c>
      <c r="CH53" s="5">
        <f t="shared" si="96"/>
        <v>97.067999999999998</v>
      </c>
      <c r="CJ53" s="27"/>
      <c r="CK53" s="15"/>
      <c r="CL53" s="27"/>
    </row>
    <row r="54" spans="1:90">
      <c r="A54" t="s">
        <v>206</v>
      </c>
      <c r="B54" t="s">
        <v>205</v>
      </c>
      <c r="C54" t="s">
        <v>7</v>
      </c>
      <c r="D54" t="s">
        <v>92</v>
      </c>
      <c r="E54" t="s">
        <v>216</v>
      </c>
      <c r="F54" s="9" t="s">
        <v>226</v>
      </c>
      <c r="G54" t="s">
        <v>54</v>
      </c>
      <c r="H54">
        <v>35.954265415502903</v>
      </c>
      <c r="I54">
        <v>-79.742999317662694</v>
      </c>
      <c r="J54" t="s">
        <v>47</v>
      </c>
      <c r="K54" t="s">
        <v>11</v>
      </c>
      <c r="L54" t="s">
        <v>11</v>
      </c>
      <c r="M54" s="9" t="s">
        <v>439</v>
      </c>
      <c r="N54">
        <v>0</v>
      </c>
      <c r="O54">
        <v>7.6</v>
      </c>
      <c r="P54">
        <v>1</v>
      </c>
      <c r="Q54">
        <v>24</v>
      </c>
      <c r="R54" t="s">
        <v>121</v>
      </c>
      <c r="S54" s="9" t="s">
        <v>572</v>
      </c>
      <c r="T54" s="22">
        <v>4.3</v>
      </c>
      <c r="U54" s="22">
        <v>5.5</v>
      </c>
      <c r="V54" s="22">
        <v>9.6999999999999993</v>
      </c>
      <c r="W54" s="22">
        <v>14.9</v>
      </c>
      <c r="X54" s="22">
        <v>19.5</v>
      </c>
      <c r="Y54" s="22">
        <v>23.8</v>
      </c>
      <c r="Z54" s="22">
        <v>25.6</v>
      </c>
      <c r="AA54" s="22">
        <v>24.9</v>
      </c>
      <c r="AB54" s="22">
        <v>21.7</v>
      </c>
      <c r="AC54" s="22">
        <v>15.4</v>
      </c>
      <c r="AD54" s="22">
        <v>9.8000000000000007</v>
      </c>
      <c r="AE54" s="22">
        <v>5.4</v>
      </c>
      <c r="AF54" s="24">
        <f t="shared" si="50"/>
        <v>5.5</v>
      </c>
      <c r="AG54" s="24">
        <f t="shared" si="51"/>
        <v>20</v>
      </c>
      <c r="AH54" s="25">
        <f t="shared" si="52"/>
        <v>1.7005560910501715E-2</v>
      </c>
      <c r="AI54" s="25">
        <f t="shared" si="53"/>
        <v>3.0955437410882074E-2</v>
      </c>
      <c r="AJ54" s="25">
        <f t="shared" si="54"/>
        <v>0.1731574956743096</v>
      </c>
      <c r="AK54" s="25">
        <f t="shared" si="55"/>
        <v>0.65056285802711866</v>
      </c>
      <c r="AL54" s="25">
        <f t="shared" si="56"/>
        <v>0.99587629451549842</v>
      </c>
      <c r="AM54" s="25">
        <f t="shared" si="57"/>
        <v>0.78766871815735262</v>
      </c>
      <c r="AN54" s="25">
        <f t="shared" si="58"/>
        <v>0.59550403914058803</v>
      </c>
      <c r="AO54" s="25">
        <f t="shared" si="59"/>
        <v>0.67242849242096037</v>
      </c>
      <c r="AP54" s="25">
        <f t="shared" si="60"/>
        <v>0.95335437248341182</v>
      </c>
      <c r="AQ54" s="25">
        <f t="shared" si="61"/>
        <v>0.70486282743482087</v>
      </c>
      <c r="AR54" s="25">
        <f t="shared" si="62"/>
        <v>0.17912535311773578</v>
      </c>
      <c r="AS54" s="25">
        <f t="shared" si="63"/>
        <v>2.950174735186346E-2</v>
      </c>
      <c r="AT54">
        <v>3</v>
      </c>
      <c r="AU54" s="30">
        <f t="shared" si="48"/>
        <v>2.3333333333333335</v>
      </c>
      <c r="AV54" s="31">
        <f t="shared" si="64"/>
        <v>0</v>
      </c>
      <c r="AW54" s="31">
        <f t="shared" si="65"/>
        <v>0</v>
      </c>
      <c r="AX54" s="31">
        <f t="shared" si="66"/>
        <v>0</v>
      </c>
      <c r="AY54" s="31">
        <f t="shared" si="67"/>
        <v>3.33</v>
      </c>
      <c r="AZ54" s="31">
        <f t="shared" si="68"/>
        <v>2.33</v>
      </c>
      <c r="BA54" s="31">
        <f t="shared" si="69"/>
        <v>2.33</v>
      </c>
      <c r="BB54" s="31">
        <f t="shared" si="70"/>
        <v>3.33</v>
      </c>
      <c r="BC54" s="31">
        <f t="shared" si="71"/>
        <v>3.33</v>
      </c>
      <c r="BD54" s="31">
        <f t="shared" si="72"/>
        <v>2.33</v>
      </c>
      <c r="BE54" s="31">
        <f t="shared" si="73"/>
        <v>3.33</v>
      </c>
      <c r="BF54" s="31">
        <f t="shared" si="74"/>
        <v>0</v>
      </c>
      <c r="BG54" s="31">
        <f t="shared" si="75"/>
        <v>0</v>
      </c>
      <c r="BH54">
        <f t="shared" si="76"/>
        <v>0</v>
      </c>
      <c r="BI54">
        <f t="shared" si="77"/>
        <v>0</v>
      </c>
      <c r="BJ54">
        <f t="shared" si="78"/>
        <v>0</v>
      </c>
      <c r="BK54">
        <f t="shared" si="79"/>
        <v>9</v>
      </c>
      <c r="BL54">
        <f t="shared" si="80"/>
        <v>13</v>
      </c>
      <c r="BM54">
        <f t="shared" si="81"/>
        <v>13</v>
      </c>
      <c r="BN54">
        <f t="shared" si="82"/>
        <v>9</v>
      </c>
      <c r="BO54">
        <f t="shared" si="83"/>
        <v>9</v>
      </c>
      <c r="BP54">
        <f t="shared" si="84"/>
        <v>13</v>
      </c>
      <c r="BQ54">
        <f t="shared" si="85"/>
        <v>9</v>
      </c>
      <c r="BR54">
        <f t="shared" si="86"/>
        <v>0</v>
      </c>
      <c r="BS54">
        <f t="shared" si="87"/>
        <v>0</v>
      </c>
      <c r="BT54" s="4">
        <f t="shared" si="88"/>
        <v>75</v>
      </c>
      <c r="BU54" s="8" t="str">
        <f>LOOKUP(D54,'Mower Equipment EFs'!B$2:B$6,'Mower Equipment EFs'!A$2:A$6)</f>
        <v>Jacobsen Eclipse 322 hybrid gasoline reel mower</v>
      </c>
      <c r="BV54" s="8">
        <f>LOOKUP(D54,'Mower Equipment EFs'!B$2:B$6,'Mower Equipment EFs'!H$2:H$6)</f>
        <v>3.1995</v>
      </c>
      <c r="BW54">
        <f t="shared" si="89"/>
        <v>23.99625</v>
      </c>
      <c r="BX54">
        <f t="shared" si="49"/>
        <v>3.5</v>
      </c>
      <c r="BY54" s="35">
        <f t="shared" si="90"/>
        <v>20.265011188257652</v>
      </c>
      <c r="BZ54">
        <f t="shared" si="91"/>
        <v>0.31845017581547741</v>
      </c>
      <c r="CA54">
        <v>0.23599999999999999</v>
      </c>
      <c r="CB54">
        <v>270</v>
      </c>
      <c r="CC54" s="5">
        <f t="shared" si="92"/>
        <v>85.981547470178896</v>
      </c>
      <c r="CD54" s="5">
        <f t="shared" si="93"/>
        <v>63.72</v>
      </c>
      <c r="CE54" s="32">
        <v>3.7810000000000001</v>
      </c>
      <c r="CF54" s="5">
        <f t="shared" si="94"/>
        <v>76.622007302802189</v>
      </c>
      <c r="CG54" s="26">
        <f t="shared" si="95"/>
        <v>186.59980477298109</v>
      </c>
      <c r="CH54" s="5">
        <f t="shared" si="96"/>
        <v>87.716250000000002</v>
      </c>
      <c r="CJ54" s="27"/>
      <c r="CK54" s="15"/>
      <c r="CL54" s="27"/>
    </row>
    <row r="55" spans="1:90">
      <c r="A55" t="s">
        <v>224</v>
      </c>
      <c r="B55" t="s">
        <v>225</v>
      </c>
      <c r="C55" t="s">
        <v>7</v>
      </c>
      <c r="D55" t="s">
        <v>8</v>
      </c>
      <c r="E55" t="s">
        <v>210</v>
      </c>
      <c r="F55" s="9" t="s">
        <v>227</v>
      </c>
      <c r="G55" t="s">
        <v>54</v>
      </c>
      <c r="H55">
        <v>35.954265415502903</v>
      </c>
      <c r="I55">
        <v>-79.742999317662694</v>
      </c>
      <c r="J55" t="s">
        <v>47</v>
      </c>
      <c r="K55" t="s">
        <v>11</v>
      </c>
      <c r="L55" t="s">
        <v>11</v>
      </c>
      <c r="M55" s="9" t="s">
        <v>439</v>
      </c>
      <c r="N55">
        <v>0</v>
      </c>
      <c r="O55">
        <v>15</v>
      </c>
      <c r="P55">
        <v>2</v>
      </c>
      <c r="Q55">
        <v>100</v>
      </c>
      <c r="R55" t="s">
        <v>208</v>
      </c>
      <c r="S55" s="9" t="s">
        <v>573</v>
      </c>
      <c r="T55" s="22">
        <v>4.3</v>
      </c>
      <c r="U55" s="22">
        <v>5.5</v>
      </c>
      <c r="V55" s="22">
        <v>9.6999999999999993</v>
      </c>
      <c r="W55" s="22">
        <v>14.9</v>
      </c>
      <c r="X55" s="22">
        <v>19.5</v>
      </c>
      <c r="Y55" s="22">
        <v>23.8</v>
      </c>
      <c r="Z55" s="22">
        <v>25.6</v>
      </c>
      <c r="AA55" s="22">
        <v>24.9</v>
      </c>
      <c r="AB55" s="22">
        <v>21.7</v>
      </c>
      <c r="AC55" s="22">
        <v>15.4</v>
      </c>
      <c r="AD55" s="22">
        <v>9.8000000000000007</v>
      </c>
      <c r="AE55" s="22">
        <v>5.4</v>
      </c>
      <c r="AF55" s="24">
        <f t="shared" si="50"/>
        <v>7</v>
      </c>
      <c r="AG55" s="24">
        <f t="shared" si="51"/>
        <v>31</v>
      </c>
      <c r="AH55" s="25">
        <f t="shared" si="52"/>
        <v>6.9306431592925603E-4</v>
      </c>
      <c r="AI55" s="25">
        <f t="shared" si="53"/>
        <v>1.3133106952179579E-3</v>
      </c>
      <c r="AJ55" s="25">
        <f t="shared" si="54"/>
        <v>9.7597372900901196E-3</v>
      </c>
      <c r="AK55" s="25">
        <f t="shared" si="55"/>
        <v>7.1005353739636942E-2</v>
      </c>
      <c r="AL55" s="25">
        <f t="shared" si="56"/>
        <v>0.25937255983191909</v>
      </c>
      <c r="AM55" s="25">
        <f t="shared" si="57"/>
        <v>0.58920589353601671</v>
      </c>
      <c r="AN55" s="25">
        <f t="shared" si="58"/>
        <v>0.74263469272905713</v>
      </c>
      <c r="AO55" s="25">
        <f t="shared" si="59"/>
        <v>0.68407078658762877</v>
      </c>
      <c r="AP55" s="25">
        <f t="shared" si="60"/>
        <v>0.41372614050444023</v>
      </c>
      <c r="AQ55" s="25">
        <f t="shared" si="61"/>
        <v>8.3470224283944489E-2</v>
      </c>
      <c r="AR55" s="25">
        <f t="shared" si="62"/>
        <v>1.0192303024617159E-2</v>
      </c>
      <c r="AS55" s="25">
        <f t="shared" si="63"/>
        <v>1.2465856577176535E-3</v>
      </c>
      <c r="AT55">
        <v>2</v>
      </c>
      <c r="AU55" s="30">
        <f t="shared" si="48"/>
        <v>3.5</v>
      </c>
      <c r="AV55" s="31">
        <f t="shared" si="64"/>
        <v>0</v>
      </c>
      <c r="AW55" s="31">
        <f t="shared" si="65"/>
        <v>0</v>
      </c>
      <c r="AX55" s="31">
        <f t="shared" si="66"/>
        <v>0</v>
      </c>
      <c r="AY55" s="31">
        <f t="shared" si="67"/>
        <v>0</v>
      </c>
      <c r="AZ55" s="31">
        <f t="shared" si="68"/>
        <v>7</v>
      </c>
      <c r="BA55" s="31">
        <f t="shared" si="69"/>
        <v>5</v>
      </c>
      <c r="BB55" s="31">
        <f t="shared" si="70"/>
        <v>5</v>
      </c>
      <c r="BC55" s="31">
        <f t="shared" si="71"/>
        <v>5</v>
      </c>
      <c r="BD55" s="31">
        <f t="shared" si="72"/>
        <v>7</v>
      </c>
      <c r="BE55" s="31">
        <f t="shared" si="73"/>
        <v>0</v>
      </c>
      <c r="BF55" s="31">
        <f t="shared" si="74"/>
        <v>0</v>
      </c>
      <c r="BG55" s="31">
        <f t="shared" si="75"/>
        <v>0</v>
      </c>
      <c r="BH55">
        <f t="shared" si="76"/>
        <v>0</v>
      </c>
      <c r="BI55">
        <f t="shared" si="77"/>
        <v>0</v>
      </c>
      <c r="BJ55">
        <f t="shared" si="78"/>
        <v>0</v>
      </c>
      <c r="BK55">
        <f t="shared" si="79"/>
        <v>0</v>
      </c>
      <c r="BL55">
        <f t="shared" si="80"/>
        <v>4</v>
      </c>
      <c r="BM55">
        <f t="shared" si="81"/>
        <v>6</v>
      </c>
      <c r="BN55">
        <f t="shared" si="82"/>
        <v>6</v>
      </c>
      <c r="BO55">
        <f t="shared" si="83"/>
        <v>6</v>
      </c>
      <c r="BP55">
        <f t="shared" si="84"/>
        <v>4</v>
      </c>
      <c r="BQ55">
        <f t="shared" si="85"/>
        <v>0</v>
      </c>
      <c r="BR55">
        <f t="shared" si="86"/>
        <v>0</v>
      </c>
      <c r="BS55">
        <f t="shared" si="87"/>
        <v>0</v>
      </c>
      <c r="BT55" s="4">
        <f t="shared" si="88"/>
        <v>26</v>
      </c>
      <c r="BU55" s="8" t="str">
        <f>LOOKUP(D55,'Mower Equipment EFs'!B$2:B$6,'Mower Equipment EFs'!A$2:A$6)</f>
        <v>John Deere 7500A fairway mower</v>
      </c>
      <c r="BV55" s="8">
        <f>LOOKUP(D55,'Mower Equipment EFs'!B$2:B$6,'Mower Equipment EFs'!H$2:H$6)</f>
        <v>2.2621799999999999</v>
      </c>
      <c r="BW55">
        <f t="shared" si="89"/>
        <v>5.8816679999999995</v>
      </c>
      <c r="BX55">
        <f t="shared" si="49"/>
        <v>4</v>
      </c>
      <c r="BY55" s="35">
        <f t="shared" si="90"/>
        <v>11.466762608784862</v>
      </c>
      <c r="BZ55">
        <f t="shared" si="91"/>
        <v>0.18019198385233356</v>
      </c>
      <c r="CA55">
        <v>0.23599999999999999</v>
      </c>
      <c r="CB55">
        <v>270</v>
      </c>
      <c r="CC55" s="5">
        <f t="shared" si="92"/>
        <v>48.651835640130059</v>
      </c>
      <c r="CD55" s="5">
        <f t="shared" si="93"/>
        <v>63.72</v>
      </c>
      <c r="CE55" s="32">
        <v>3.7810000000000001</v>
      </c>
      <c r="CF55" s="5">
        <f t="shared" si="94"/>
        <v>43.355829423815564</v>
      </c>
      <c r="CG55" s="26">
        <f t="shared" si="95"/>
        <v>97.889333063945628</v>
      </c>
      <c r="CH55" s="5">
        <f t="shared" si="96"/>
        <v>69.601668000000004</v>
      </c>
      <c r="CJ55" s="27"/>
      <c r="CK55" s="15"/>
      <c r="CL55" s="27"/>
    </row>
    <row r="56" spans="1:90" s="9" customFormat="1">
      <c r="A56" s="9" t="s">
        <v>56</v>
      </c>
      <c r="B56" s="9" t="s">
        <v>193</v>
      </c>
      <c r="C56" s="9" t="s">
        <v>7</v>
      </c>
      <c r="D56" s="9" t="s">
        <v>9</v>
      </c>
      <c r="E56" s="9" t="s">
        <v>231</v>
      </c>
      <c r="F56" s="9" t="s">
        <v>226</v>
      </c>
      <c r="G56" s="9" t="s">
        <v>57</v>
      </c>
      <c r="H56" s="9">
        <v>40.760778999999999</v>
      </c>
      <c r="I56" s="9">
        <v>-111.891047</v>
      </c>
      <c r="J56" s="9" t="s">
        <v>46</v>
      </c>
      <c r="K56" t="s">
        <v>447</v>
      </c>
      <c r="L56" t="s">
        <v>512</v>
      </c>
      <c r="M56" t="s">
        <v>516</v>
      </c>
      <c r="N56" s="9">
        <v>0</v>
      </c>
      <c r="O56" s="9">
        <v>40</v>
      </c>
      <c r="P56" s="9">
        <v>7</v>
      </c>
      <c r="Q56" s="9">
        <v>100</v>
      </c>
      <c r="R56" s="9" t="s">
        <v>434</v>
      </c>
      <c r="S56" s="9" t="s">
        <v>586</v>
      </c>
      <c r="T56" s="22">
        <v>-1.4</v>
      </c>
      <c r="U56" s="22">
        <v>1.2</v>
      </c>
      <c r="V56" s="22">
        <v>6.4</v>
      </c>
      <c r="W56" s="22">
        <v>10.3</v>
      </c>
      <c r="X56" s="22">
        <v>15.4</v>
      </c>
      <c r="Y56" s="22">
        <v>20.9</v>
      </c>
      <c r="Z56" s="22">
        <v>25.9</v>
      </c>
      <c r="AA56" s="22">
        <v>25</v>
      </c>
      <c r="AB56" s="22">
        <v>18.899999999999999</v>
      </c>
      <c r="AC56" s="22">
        <v>11.7</v>
      </c>
      <c r="AD56" s="22">
        <v>4.4000000000000004</v>
      </c>
      <c r="AE56" s="22">
        <v>-0.9</v>
      </c>
      <c r="AF56" s="24">
        <f t="shared" si="50"/>
        <v>5.5</v>
      </c>
      <c r="AG56" s="24">
        <f t="shared" si="51"/>
        <v>20</v>
      </c>
      <c r="AH56" s="25">
        <f t="shared" si="52"/>
        <v>5.1590558869973532E-4</v>
      </c>
      <c r="AI56" s="25">
        <f t="shared" si="53"/>
        <v>2.9030787387456639E-3</v>
      </c>
      <c r="AJ56" s="25">
        <f t="shared" si="54"/>
        <v>4.7019631046114591E-2</v>
      </c>
      <c r="AK56" s="25">
        <f t="shared" si="55"/>
        <v>0.21114575297835583</v>
      </c>
      <c r="AL56" s="25">
        <f t="shared" si="56"/>
        <v>0.70486282743482087</v>
      </c>
      <c r="AM56" s="25">
        <f t="shared" si="57"/>
        <v>0.98670079662929111</v>
      </c>
      <c r="AN56" s="25">
        <f t="shared" si="58"/>
        <v>0.56249563731029595</v>
      </c>
      <c r="AO56" s="25">
        <f t="shared" si="59"/>
        <v>0.66151465564937462</v>
      </c>
      <c r="AP56" s="25">
        <f t="shared" si="60"/>
        <v>0.98019867330675525</v>
      </c>
      <c r="AQ56" s="25">
        <f t="shared" si="61"/>
        <v>0.32024220272954868</v>
      </c>
      <c r="AR56" s="25">
        <f t="shared" si="62"/>
        <v>1.7908508590131888E-2</v>
      </c>
      <c r="AS56" s="25">
        <f t="shared" si="63"/>
        <v>7.3180241888047277E-4</v>
      </c>
      <c r="AT56" s="9">
        <v>1</v>
      </c>
      <c r="AU56" s="30">
        <f t="shared" si="48"/>
        <v>7</v>
      </c>
      <c r="AV56" s="31">
        <f t="shared" si="64"/>
        <v>0</v>
      </c>
      <c r="AW56" s="31">
        <f t="shared" si="65"/>
        <v>0</v>
      </c>
      <c r="AX56" s="31">
        <f t="shared" si="66"/>
        <v>0</v>
      </c>
      <c r="AY56" s="31">
        <f t="shared" si="67"/>
        <v>14</v>
      </c>
      <c r="AZ56" s="31">
        <f t="shared" si="68"/>
        <v>10</v>
      </c>
      <c r="BA56" s="31">
        <f t="shared" si="69"/>
        <v>7</v>
      </c>
      <c r="BB56" s="31">
        <f t="shared" si="70"/>
        <v>10</v>
      </c>
      <c r="BC56" s="31">
        <f t="shared" si="71"/>
        <v>10</v>
      </c>
      <c r="BD56" s="31">
        <f t="shared" si="72"/>
        <v>7</v>
      </c>
      <c r="BE56" s="31">
        <f t="shared" si="73"/>
        <v>14</v>
      </c>
      <c r="BF56" s="31">
        <f t="shared" si="74"/>
        <v>0</v>
      </c>
      <c r="BG56" s="31">
        <f t="shared" si="75"/>
        <v>0</v>
      </c>
      <c r="BH56">
        <f t="shared" si="76"/>
        <v>0</v>
      </c>
      <c r="BI56">
        <f t="shared" si="77"/>
        <v>0</v>
      </c>
      <c r="BJ56">
        <f t="shared" si="78"/>
        <v>0</v>
      </c>
      <c r="BK56">
        <f t="shared" si="79"/>
        <v>2</v>
      </c>
      <c r="BL56">
        <f t="shared" si="80"/>
        <v>3</v>
      </c>
      <c r="BM56">
        <f t="shared" si="81"/>
        <v>4</v>
      </c>
      <c r="BN56">
        <f t="shared" si="82"/>
        <v>3</v>
      </c>
      <c r="BO56">
        <f t="shared" si="83"/>
        <v>3</v>
      </c>
      <c r="BP56">
        <f t="shared" si="84"/>
        <v>4</v>
      </c>
      <c r="BQ56">
        <f t="shared" si="85"/>
        <v>2</v>
      </c>
      <c r="BR56">
        <f t="shared" si="86"/>
        <v>0</v>
      </c>
      <c r="BS56">
        <f t="shared" si="87"/>
        <v>0</v>
      </c>
      <c r="BT56" s="4">
        <f t="shared" si="88"/>
        <v>21</v>
      </c>
      <c r="BU56" s="8" t="str">
        <f>LOOKUP(D56,'Mower Equipment EFs'!B$2:B$6,'Mower Equipment EFs'!A$2:A$6)</f>
        <v>Push Mower</v>
      </c>
      <c r="BV56" s="8">
        <f>LOOKUP(D56,'Mower Equipment EFs'!B$2:B$6,'Mower Equipment EFs'!H$2:H$6)</f>
        <v>15.88</v>
      </c>
      <c r="BW56">
        <f t="shared" si="89"/>
        <v>33.347999999999999</v>
      </c>
      <c r="BX56">
        <f t="shared" si="49"/>
        <v>3.5</v>
      </c>
      <c r="BY56" s="35">
        <f t="shared" si="90"/>
        <v>15.736838153473553</v>
      </c>
      <c r="BZ56">
        <f t="shared" si="91"/>
        <v>0.24729317098315584</v>
      </c>
      <c r="CA56">
        <v>0.23599999999999999</v>
      </c>
      <c r="CB56">
        <v>270</v>
      </c>
      <c r="CC56" s="5">
        <f t="shared" si="92"/>
        <v>66.769156165452074</v>
      </c>
      <c r="CD56" s="5">
        <f t="shared" si="93"/>
        <v>63.72</v>
      </c>
      <c r="CE56" s="32">
        <v>3.7810000000000001</v>
      </c>
      <c r="CF56" s="5">
        <f t="shared" si="94"/>
        <v>59.500985058283504</v>
      </c>
      <c r="CG56" s="26">
        <f t="shared" si="95"/>
        <v>159.61814122373556</v>
      </c>
      <c r="CH56" s="5">
        <f t="shared" si="96"/>
        <v>97.067999999999998</v>
      </c>
      <c r="CI56"/>
      <c r="CJ56" s="27"/>
      <c r="CK56" s="15"/>
      <c r="CL56" s="27"/>
    </row>
    <row r="57" spans="1:90" s="9" customFormat="1">
      <c r="A57" t="s">
        <v>5</v>
      </c>
      <c r="B57" t="s">
        <v>195</v>
      </c>
      <c r="C57" t="s">
        <v>7</v>
      </c>
      <c r="D57" t="s">
        <v>89</v>
      </c>
      <c r="E57" s="9" t="s">
        <v>439</v>
      </c>
      <c r="F57" s="9" t="s">
        <v>226</v>
      </c>
      <c r="G57" t="s">
        <v>13</v>
      </c>
      <c r="H57">
        <v>34.0065014035291</v>
      </c>
      <c r="I57">
        <v>-118.322513670508</v>
      </c>
      <c r="J57" t="s">
        <v>51</v>
      </c>
      <c r="K57" t="s">
        <v>52</v>
      </c>
      <c r="L57" t="s">
        <v>445</v>
      </c>
      <c r="M57" t="s">
        <v>515</v>
      </c>
      <c r="N57">
        <v>0</v>
      </c>
      <c r="O57">
        <v>20</v>
      </c>
      <c r="P57">
        <v>2</v>
      </c>
      <c r="Q57">
        <v>33</v>
      </c>
      <c r="R57" t="s">
        <v>126</v>
      </c>
      <c r="S57" s="9" t="s">
        <v>585</v>
      </c>
      <c r="T57" s="22">
        <v>14.2</v>
      </c>
      <c r="U57" s="22">
        <v>14.5</v>
      </c>
      <c r="V57" s="22">
        <v>14.7</v>
      </c>
      <c r="W57" s="22">
        <v>15.8</v>
      </c>
      <c r="X57" s="22">
        <v>16.8</v>
      </c>
      <c r="Y57" s="22">
        <v>18.399999999999999</v>
      </c>
      <c r="Z57" s="22">
        <v>20.6</v>
      </c>
      <c r="AA57" s="22">
        <v>21.1</v>
      </c>
      <c r="AB57" s="22">
        <v>20.8</v>
      </c>
      <c r="AC57" s="22">
        <v>19.2</v>
      </c>
      <c r="AD57" s="22">
        <v>17.100000000000001</v>
      </c>
      <c r="AE57" s="22">
        <v>14.8</v>
      </c>
      <c r="AF57" s="24">
        <f t="shared" si="50"/>
        <v>5.5</v>
      </c>
      <c r="AG57" s="24">
        <f t="shared" si="51"/>
        <v>20</v>
      </c>
      <c r="AH57" s="25">
        <f t="shared" si="52"/>
        <v>0.57347951756177595</v>
      </c>
      <c r="AI57" s="25">
        <f t="shared" si="53"/>
        <v>0.60653065971263342</v>
      </c>
      <c r="AJ57" s="25">
        <f t="shared" si="54"/>
        <v>0.62857651214451937</v>
      </c>
      <c r="AK57" s="25">
        <f t="shared" si="55"/>
        <v>0.74708953026364133</v>
      </c>
      <c r="AL57" s="25">
        <f t="shared" si="56"/>
        <v>0.84429256931426844</v>
      </c>
      <c r="AM57" s="25">
        <f t="shared" si="57"/>
        <v>0.95856869519446675</v>
      </c>
      <c r="AN57" s="25">
        <f t="shared" si="58"/>
        <v>0.99406725542300312</v>
      </c>
      <c r="AO57" s="25">
        <f t="shared" si="59"/>
        <v>0.98019867330675525</v>
      </c>
      <c r="AP57" s="25">
        <f t="shared" si="60"/>
        <v>0.98947724328830844</v>
      </c>
      <c r="AQ57" s="25">
        <f t="shared" si="61"/>
        <v>0.98947724328830844</v>
      </c>
      <c r="AR57" s="25">
        <f t="shared" si="62"/>
        <v>0.87022083652079318</v>
      </c>
      <c r="AS57" s="25">
        <f t="shared" si="63"/>
        <v>0.63958090775294019</v>
      </c>
      <c r="AT57" s="9">
        <v>2</v>
      </c>
      <c r="AU57" s="30">
        <f t="shared" si="48"/>
        <v>3.5</v>
      </c>
      <c r="AV57" s="31">
        <f t="shared" si="64"/>
        <v>5</v>
      </c>
      <c r="AW57" s="31">
        <f t="shared" si="65"/>
        <v>5</v>
      </c>
      <c r="AX57" s="31">
        <f t="shared" si="66"/>
        <v>5</v>
      </c>
      <c r="AY57" s="31">
        <f t="shared" si="67"/>
        <v>5</v>
      </c>
      <c r="AZ57" s="31">
        <f t="shared" si="68"/>
        <v>3.5</v>
      </c>
      <c r="BA57" s="31">
        <f t="shared" si="69"/>
        <v>3.5</v>
      </c>
      <c r="BB57" s="31">
        <f t="shared" si="70"/>
        <v>3.5</v>
      </c>
      <c r="BC57" s="31">
        <f t="shared" si="71"/>
        <v>3.5</v>
      </c>
      <c r="BD57" s="31">
        <f t="shared" si="72"/>
        <v>3.5</v>
      </c>
      <c r="BE57" s="31">
        <f t="shared" si="73"/>
        <v>3.5</v>
      </c>
      <c r="BF57" s="31">
        <f t="shared" si="74"/>
        <v>3.5</v>
      </c>
      <c r="BG57" s="31">
        <f t="shared" si="75"/>
        <v>5</v>
      </c>
      <c r="BH57">
        <f t="shared" si="76"/>
        <v>6</v>
      </c>
      <c r="BI57">
        <f t="shared" si="77"/>
        <v>6</v>
      </c>
      <c r="BJ57">
        <f t="shared" si="78"/>
        <v>6</v>
      </c>
      <c r="BK57">
        <f t="shared" si="79"/>
        <v>6</v>
      </c>
      <c r="BL57">
        <f t="shared" si="80"/>
        <v>9</v>
      </c>
      <c r="BM57">
        <f t="shared" si="81"/>
        <v>9</v>
      </c>
      <c r="BN57">
        <f t="shared" si="82"/>
        <v>9</v>
      </c>
      <c r="BO57">
        <f t="shared" si="83"/>
        <v>9</v>
      </c>
      <c r="BP57">
        <f t="shared" si="84"/>
        <v>9</v>
      </c>
      <c r="BQ57">
        <f t="shared" si="85"/>
        <v>9</v>
      </c>
      <c r="BR57">
        <f t="shared" si="86"/>
        <v>9</v>
      </c>
      <c r="BS57">
        <f t="shared" si="87"/>
        <v>6</v>
      </c>
      <c r="BT57" s="4">
        <f t="shared" si="88"/>
        <v>93</v>
      </c>
      <c r="BU57" s="8" t="str">
        <f>LOOKUP(D57,'Mower Equipment EFs'!B$2:B$6,'Mower Equipment EFs'!A$2:A$6)</f>
        <v>Toro Groundsmaster 4300D</v>
      </c>
      <c r="BV57" s="8">
        <f>LOOKUP(D57,'Mower Equipment EFs'!B$2:B$6,'Mower Equipment EFs'!H$2:H$6)</f>
        <v>8.3048499999999983</v>
      </c>
      <c r="BW57">
        <f t="shared" si="89"/>
        <v>77.235104999999976</v>
      </c>
      <c r="BX57">
        <f t="shared" si="49"/>
        <v>3.5</v>
      </c>
      <c r="BY57" s="35">
        <f t="shared" si="90"/>
        <v>34.37545875319995</v>
      </c>
      <c r="BZ57">
        <f t="shared" si="91"/>
        <v>0.54018578040742782</v>
      </c>
      <c r="CA57">
        <v>0.23599999999999999</v>
      </c>
      <c r="CB57">
        <v>270</v>
      </c>
      <c r="CC57" s="5">
        <f t="shared" si="92"/>
        <v>145.8501607100055</v>
      </c>
      <c r="CD57" s="5">
        <f t="shared" si="93"/>
        <v>63.72</v>
      </c>
      <c r="CE57" s="32">
        <v>3.7810000000000001</v>
      </c>
      <c r="CF57" s="5">
        <f t="shared" si="94"/>
        <v>129.97360954584903</v>
      </c>
      <c r="CG57" s="26">
        <f t="shared" si="95"/>
        <v>353.0588752558545</v>
      </c>
      <c r="CH57" s="5">
        <f t="shared" si="96"/>
        <v>140.95510499999997</v>
      </c>
      <c r="CI57"/>
      <c r="CJ57" s="27"/>
      <c r="CK57" s="15"/>
      <c r="CL57" s="27"/>
    </row>
    <row r="58" spans="1:90">
      <c r="A58" t="s">
        <v>5</v>
      </c>
      <c r="B58" t="s">
        <v>194</v>
      </c>
      <c r="C58" t="s">
        <v>7</v>
      </c>
      <c r="D58" t="s">
        <v>9</v>
      </c>
      <c r="E58" s="9" t="s">
        <v>439</v>
      </c>
      <c r="F58" s="9" t="s">
        <v>226</v>
      </c>
      <c r="G58" t="s">
        <v>13</v>
      </c>
      <c r="H58">
        <v>34.0065014035291</v>
      </c>
      <c r="I58">
        <v>-118.322513670508</v>
      </c>
      <c r="J58" t="s">
        <v>51</v>
      </c>
      <c r="K58" t="s">
        <v>52</v>
      </c>
      <c r="L58" t="s">
        <v>445</v>
      </c>
      <c r="M58" t="s">
        <v>515</v>
      </c>
      <c r="N58">
        <v>0</v>
      </c>
      <c r="O58">
        <v>20</v>
      </c>
      <c r="P58">
        <v>2</v>
      </c>
      <c r="Q58">
        <v>33</v>
      </c>
      <c r="R58" t="s">
        <v>125</v>
      </c>
      <c r="S58" s="9" t="s">
        <v>584</v>
      </c>
      <c r="T58" s="22">
        <v>14.2</v>
      </c>
      <c r="U58" s="22">
        <v>14.5</v>
      </c>
      <c r="V58" s="22">
        <v>14.7</v>
      </c>
      <c r="W58" s="22">
        <v>15.8</v>
      </c>
      <c r="X58" s="22">
        <v>16.8</v>
      </c>
      <c r="Y58" s="22">
        <v>18.399999999999999</v>
      </c>
      <c r="Z58" s="22">
        <v>20.6</v>
      </c>
      <c r="AA58" s="22">
        <v>21.1</v>
      </c>
      <c r="AB58" s="22">
        <v>20.8</v>
      </c>
      <c r="AC58" s="22">
        <v>19.2</v>
      </c>
      <c r="AD58" s="22">
        <v>17.100000000000001</v>
      </c>
      <c r="AE58" s="22">
        <v>14.8</v>
      </c>
      <c r="AF58" s="24">
        <f t="shared" si="50"/>
        <v>5.5</v>
      </c>
      <c r="AG58" s="24">
        <f t="shared" si="51"/>
        <v>20</v>
      </c>
      <c r="AH58" s="25">
        <f t="shared" si="52"/>
        <v>0.57347951756177595</v>
      </c>
      <c r="AI58" s="25">
        <f t="shared" si="53"/>
        <v>0.60653065971263342</v>
      </c>
      <c r="AJ58" s="25">
        <f t="shared" si="54"/>
        <v>0.62857651214451937</v>
      </c>
      <c r="AK58" s="25">
        <f t="shared" si="55"/>
        <v>0.74708953026364133</v>
      </c>
      <c r="AL58" s="25">
        <f t="shared" si="56"/>
        <v>0.84429256931426844</v>
      </c>
      <c r="AM58" s="25">
        <f t="shared" si="57"/>
        <v>0.95856869519446675</v>
      </c>
      <c r="AN58" s="25">
        <f t="shared" si="58"/>
        <v>0.99406725542300312</v>
      </c>
      <c r="AO58" s="25">
        <f t="shared" si="59"/>
        <v>0.98019867330675525</v>
      </c>
      <c r="AP58" s="25">
        <f t="shared" si="60"/>
        <v>0.98947724328830844</v>
      </c>
      <c r="AQ58" s="25">
        <f t="shared" si="61"/>
        <v>0.98947724328830844</v>
      </c>
      <c r="AR58" s="25">
        <f t="shared" si="62"/>
        <v>0.87022083652079318</v>
      </c>
      <c r="AS58" s="25">
        <f t="shared" si="63"/>
        <v>0.63958090775294019</v>
      </c>
      <c r="AT58" s="9">
        <v>1</v>
      </c>
      <c r="AU58" s="30">
        <f t="shared" si="48"/>
        <v>7</v>
      </c>
      <c r="AV58" s="31">
        <f t="shared" si="64"/>
        <v>10</v>
      </c>
      <c r="AW58" s="31">
        <f t="shared" si="65"/>
        <v>10</v>
      </c>
      <c r="AX58" s="31">
        <f t="shared" si="66"/>
        <v>10</v>
      </c>
      <c r="AY58" s="31">
        <f t="shared" si="67"/>
        <v>10</v>
      </c>
      <c r="AZ58" s="31">
        <f t="shared" si="68"/>
        <v>7</v>
      </c>
      <c r="BA58" s="31">
        <f t="shared" si="69"/>
        <v>7</v>
      </c>
      <c r="BB58" s="31">
        <f t="shared" si="70"/>
        <v>7</v>
      </c>
      <c r="BC58" s="31">
        <f t="shared" si="71"/>
        <v>7</v>
      </c>
      <c r="BD58" s="31">
        <f t="shared" si="72"/>
        <v>7</v>
      </c>
      <c r="BE58" s="31">
        <f t="shared" si="73"/>
        <v>7</v>
      </c>
      <c r="BF58" s="31">
        <f t="shared" si="74"/>
        <v>7</v>
      </c>
      <c r="BG58" s="31">
        <f t="shared" si="75"/>
        <v>10</v>
      </c>
      <c r="BH58">
        <f t="shared" si="76"/>
        <v>3</v>
      </c>
      <c r="BI58">
        <f t="shared" si="77"/>
        <v>3</v>
      </c>
      <c r="BJ58">
        <f t="shared" si="78"/>
        <v>3</v>
      </c>
      <c r="BK58">
        <f t="shared" si="79"/>
        <v>3</v>
      </c>
      <c r="BL58">
        <f t="shared" si="80"/>
        <v>4</v>
      </c>
      <c r="BM58">
        <f t="shared" si="81"/>
        <v>4</v>
      </c>
      <c r="BN58">
        <f t="shared" si="82"/>
        <v>4</v>
      </c>
      <c r="BO58">
        <f t="shared" si="83"/>
        <v>4</v>
      </c>
      <c r="BP58">
        <f t="shared" si="84"/>
        <v>4</v>
      </c>
      <c r="BQ58">
        <f t="shared" si="85"/>
        <v>4</v>
      </c>
      <c r="BR58">
        <f t="shared" si="86"/>
        <v>4</v>
      </c>
      <c r="BS58">
        <f t="shared" si="87"/>
        <v>3</v>
      </c>
      <c r="BT58" s="4">
        <f t="shared" si="88"/>
        <v>43</v>
      </c>
      <c r="BU58" s="8" t="str">
        <f>LOOKUP(D58,'Mower Equipment EFs'!B$2:B$6,'Mower Equipment EFs'!A$2:A$6)</f>
        <v>Push Mower</v>
      </c>
      <c r="BV58" s="8">
        <f>LOOKUP(D58,'Mower Equipment EFs'!B$2:B$6,'Mower Equipment EFs'!H$2:H$6)</f>
        <v>15.88</v>
      </c>
      <c r="BW58">
        <f t="shared" si="89"/>
        <v>68.284000000000006</v>
      </c>
      <c r="BX58">
        <f t="shared" si="49"/>
        <v>3.5</v>
      </c>
      <c r="BY58" s="35">
        <f t="shared" si="90"/>
        <v>34.37545875319995</v>
      </c>
      <c r="BZ58">
        <f t="shared" si="91"/>
        <v>0.54018578040742782</v>
      </c>
      <c r="CA58">
        <v>0.23599999999999999</v>
      </c>
      <c r="CB58">
        <v>270</v>
      </c>
      <c r="CC58" s="5">
        <f t="shared" si="92"/>
        <v>145.8501607100055</v>
      </c>
      <c r="CD58" s="5">
        <f t="shared" si="93"/>
        <v>63.72</v>
      </c>
      <c r="CE58" s="32">
        <v>3.7810000000000001</v>
      </c>
      <c r="CF58" s="5">
        <f t="shared" si="94"/>
        <v>129.97360954584903</v>
      </c>
      <c r="CG58" s="26">
        <f t="shared" si="95"/>
        <v>344.10777025585458</v>
      </c>
      <c r="CH58" s="5">
        <f t="shared" si="96"/>
        <v>132.00400000000002</v>
      </c>
      <c r="CJ58" s="27"/>
      <c r="CK58" s="15"/>
      <c r="CL58" s="27"/>
    </row>
    <row r="59" spans="1:90">
      <c r="A59" t="s">
        <v>468</v>
      </c>
      <c r="B59" t="s">
        <v>469</v>
      </c>
      <c r="C59" t="s">
        <v>7</v>
      </c>
      <c r="D59" t="s">
        <v>9</v>
      </c>
      <c r="E59" s="9" t="s">
        <v>439</v>
      </c>
      <c r="F59" s="9" t="s">
        <v>226</v>
      </c>
      <c r="G59" s="9" t="s">
        <v>75</v>
      </c>
      <c r="H59">
        <v>39.250183999999997</v>
      </c>
      <c r="I59">
        <v>-76.500609999999995</v>
      </c>
      <c r="J59" t="s">
        <v>47</v>
      </c>
      <c r="K59" t="s">
        <v>11</v>
      </c>
      <c r="L59" t="s">
        <v>11</v>
      </c>
      <c r="M59" t="s">
        <v>439</v>
      </c>
      <c r="N59">
        <v>0</v>
      </c>
      <c r="O59">
        <v>30</v>
      </c>
      <c r="P59">
        <v>4</v>
      </c>
      <c r="Q59">
        <v>122</v>
      </c>
      <c r="R59" t="s">
        <v>480</v>
      </c>
      <c r="S59" s="9" t="s">
        <v>583</v>
      </c>
      <c r="T59" s="22">
        <v>0.5</v>
      </c>
      <c r="U59" s="22">
        <v>2.1</v>
      </c>
      <c r="V59" s="22">
        <v>6.4</v>
      </c>
      <c r="W59" s="22">
        <v>12.1</v>
      </c>
      <c r="X59" s="22">
        <v>17.2</v>
      </c>
      <c r="Y59" s="22">
        <v>22.4</v>
      </c>
      <c r="Z59" s="22">
        <v>25</v>
      </c>
      <c r="AA59" s="22">
        <v>23.9</v>
      </c>
      <c r="AB59" s="22">
        <v>19.899999999999999</v>
      </c>
      <c r="AC59" s="22">
        <v>13.4</v>
      </c>
      <c r="AD59" s="22">
        <v>8.1</v>
      </c>
      <c r="AE59" s="22">
        <v>2.6</v>
      </c>
      <c r="AF59" s="24">
        <f t="shared" si="50"/>
        <v>5.5</v>
      </c>
      <c r="AG59" s="24">
        <f t="shared" si="51"/>
        <v>20</v>
      </c>
      <c r="AH59" s="25">
        <f t="shared" si="52"/>
        <v>1.8638259026584011E-3</v>
      </c>
      <c r="AI59" s="25">
        <f t="shared" si="53"/>
        <v>5.0114345985882817E-3</v>
      </c>
      <c r="AJ59" s="25">
        <f t="shared" si="54"/>
        <v>4.7019631046114591E-2</v>
      </c>
      <c r="AK59" s="25">
        <f t="shared" si="55"/>
        <v>0.35644681102885617</v>
      </c>
      <c r="AL59" s="25">
        <f t="shared" si="56"/>
        <v>0.87845835525138294</v>
      </c>
      <c r="AM59" s="25">
        <f t="shared" si="57"/>
        <v>0.90918506690677436</v>
      </c>
      <c r="AN59" s="25">
        <f t="shared" si="58"/>
        <v>0.66151465564937462</v>
      </c>
      <c r="AO59" s="25">
        <f t="shared" si="59"/>
        <v>0.77770736843409005</v>
      </c>
      <c r="AP59" s="25">
        <f t="shared" si="60"/>
        <v>0.99983472440331811</v>
      </c>
      <c r="AQ59" s="25">
        <f t="shared" si="61"/>
        <v>0.48675225595997168</v>
      </c>
      <c r="AR59" s="25">
        <f t="shared" si="62"/>
        <v>9.6263971584939392E-2</v>
      </c>
      <c r="AS59" s="25">
        <f t="shared" si="63"/>
        <v>6.7090526641138959E-3</v>
      </c>
      <c r="AT59" s="9">
        <v>1</v>
      </c>
      <c r="AU59" s="30">
        <f t="shared" si="48"/>
        <v>7</v>
      </c>
      <c r="AV59" s="31">
        <f t="shared" si="64"/>
        <v>0</v>
      </c>
      <c r="AW59" s="31">
        <f t="shared" si="65"/>
        <v>0</v>
      </c>
      <c r="AX59" s="31">
        <f t="shared" si="66"/>
        <v>0</v>
      </c>
      <c r="AY59" s="31">
        <f t="shared" si="67"/>
        <v>14</v>
      </c>
      <c r="AZ59" s="31">
        <f t="shared" si="68"/>
        <v>7</v>
      </c>
      <c r="BA59" s="31">
        <f t="shared" si="69"/>
        <v>7</v>
      </c>
      <c r="BB59" s="31">
        <f t="shared" si="70"/>
        <v>10</v>
      </c>
      <c r="BC59" s="31">
        <f t="shared" si="71"/>
        <v>7</v>
      </c>
      <c r="BD59" s="31">
        <f t="shared" si="72"/>
        <v>7</v>
      </c>
      <c r="BE59" s="31">
        <f t="shared" si="73"/>
        <v>14</v>
      </c>
      <c r="BF59" s="31">
        <f t="shared" si="74"/>
        <v>0</v>
      </c>
      <c r="BG59" s="31">
        <f t="shared" si="75"/>
        <v>0</v>
      </c>
      <c r="BH59">
        <f t="shared" si="76"/>
        <v>0</v>
      </c>
      <c r="BI59">
        <f t="shared" si="77"/>
        <v>0</v>
      </c>
      <c r="BJ59">
        <f t="shared" si="78"/>
        <v>0</v>
      </c>
      <c r="BK59">
        <f t="shared" si="79"/>
        <v>2</v>
      </c>
      <c r="BL59">
        <f t="shared" si="80"/>
        <v>4</v>
      </c>
      <c r="BM59">
        <f t="shared" si="81"/>
        <v>4</v>
      </c>
      <c r="BN59">
        <f t="shared" si="82"/>
        <v>3</v>
      </c>
      <c r="BO59">
        <f t="shared" si="83"/>
        <v>4</v>
      </c>
      <c r="BP59">
        <f t="shared" si="84"/>
        <v>4</v>
      </c>
      <c r="BQ59">
        <f t="shared" si="85"/>
        <v>2</v>
      </c>
      <c r="BR59">
        <f t="shared" si="86"/>
        <v>0</v>
      </c>
      <c r="BS59">
        <f t="shared" si="87"/>
        <v>0</v>
      </c>
      <c r="BT59" s="4">
        <f t="shared" si="88"/>
        <v>23</v>
      </c>
      <c r="BU59" s="8" t="str">
        <f>LOOKUP(D59,'Mower Equipment EFs'!B$2:B$6,'Mower Equipment EFs'!A$2:A$6)</f>
        <v>Push Mower</v>
      </c>
      <c r="BV59" s="8">
        <f>LOOKUP(D59,'Mower Equipment EFs'!B$2:B$6,'Mower Equipment EFs'!H$2:H$6)</f>
        <v>15.88</v>
      </c>
      <c r="BW59">
        <f t="shared" si="89"/>
        <v>36.524000000000001</v>
      </c>
      <c r="BX59">
        <f t="shared" si="49"/>
        <v>3.5</v>
      </c>
      <c r="BY59" s="35">
        <f t="shared" si="90"/>
        <v>18.293685037005638</v>
      </c>
      <c r="BZ59">
        <f t="shared" si="91"/>
        <v>0.28747219343866004</v>
      </c>
      <c r="CA59">
        <v>0.23599999999999999</v>
      </c>
      <c r="CB59">
        <v>270</v>
      </c>
      <c r="CC59" s="5">
        <f t="shared" si="92"/>
        <v>77.617492228438209</v>
      </c>
      <c r="CD59" s="5">
        <f t="shared" si="93"/>
        <v>63.72</v>
      </c>
      <c r="CE59" s="32">
        <v>3.7810000000000001</v>
      </c>
      <c r="CF59" s="5">
        <f t="shared" si="94"/>
        <v>69.16842312491832</v>
      </c>
      <c r="CG59" s="26">
        <f t="shared" si="95"/>
        <v>183.30991535335653</v>
      </c>
      <c r="CH59" s="5">
        <f t="shared" si="96"/>
        <v>100.244</v>
      </c>
      <c r="CJ59" s="27"/>
      <c r="CK59" s="15"/>
      <c r="CL59" s="27"/>
    </row>
    <row r="60" spans="1:90">
      <c r="A60" t="s">
        <v>468</v>
      </c>
      <c r="B60" t="s">
        <v>470</v>
      </c>
      <c r="C60" t="s">
        <v>7</v>
      </c>
      <c r="D60" t="s">
        <v>9</v>
      </c>
      <c r="E60" s="9" t="s">
        <v>439</v>
      </c>
      <c r="F60" s="9" t="s">
        <v>226</v>
      </c>
      <c r="G60" s="9" t="s">
        <v>475</v>
      </c>
      <c r="H60">
        <v>42.322451993829603</v>
      </c>
      <c r="I60">
        <v>-71.071909110293205</v>
      </c>
      <c r="J60" t="s">
        <v>46</v>
      </c>
      <c r="K60" t="s">
        <v>447</v>
      </c>
      <c r="L60" t="s">
        <v>512</v>
      </c>
      <c r="M60" t="s">
        <v>439</v>
      </c>
      <c r="N60">
        <v>0</v>
      </c>
      <c r="O60">
        <v>30</v>
      </c>
      <c r="P60">
        <v>10</v>
      </c>
      <c r="Q60">
        <v>170</v>
      </c>
      <c r="R60" t="s">
        <v>481</v>
      </c>
      <c r="S60" s="9" t="s">
        <v>582</v>
      </c>
      <c r="T60" s="22">
        <v>-1.5</v>
      </c>
      <c r="U60" s="22">
        <v>-0.8</v>
      </c>
      <c r="V60" s="22">
        <v>3.4</v>
      </c>
      <c r="W60" s="22">
        <v>8.9</v>
      </c>
      <c r="X60" s="22">
        <v>14.6</v>
      </c>
      <c r="Y60" s="22">
        <v>19.8</v>
      </c>
      <c r="Z60" s="22">
        <v>22.9</v>
      </c>
      <c r="AA60" s="22">
        <v>22.1</v>
      </c>
      <c r="AB60" s="22">
        <v>18.2</v>
      </c>
      <c r="AC60" s="22">
        <v>12.6</v>
      </c>
      <c r="AD60" s="22">
        <v>7.1</v>
      </c>
      <c r="AE60" s="22">
        <v>1</v>
      </c>
      <c r="AF60" s="24">
        <f t="shared" si="50"/>
        <v>5.5</v>
      </c>
      <c r="AG60" s="24">
        <f t="shared" si="51"/>
        <v>20</v>
      </c>
      <c r="AH60" s="25">
        <f t="shared" si="52"/>
        <v>4.8059008383122596E-4</v>
      </c>
      <c r="AI60" s="25">
        <f t="shared" si="53"/>
        <v>7.8402129172879778E-4</v>
      </c>
      <c r="AJ60" s="25">
        <f t="shared" si="54"/>
        <v>1.0517542056389712E-2</v>
      </c>
      <c r="AK60" s="25">
        <f t="shared" si="55"/>
        <v>0.13048083442873259</v>
      </c>
      <c r="AL60" s="25">
        <f t="shared" si="56"/>
        <v>0.61755726923848964</v>
      </c>
      <c r="AM60" s="25">
        <f t="shared" si="57"/>
        <v>0.99933906149135188</v>
      </c>
      <c r="AN60" s="25">
        <f t="shared" si="58"/>
        <v>0.87022083652079318</v>
      </c>
      <c r="AO60" s="25">
        <f t="shared" si="59"/>
        <v>0.92970070986048381</v>
      </c>
      <c r="AP60" s="25">
        <f t="shared" si="60"/>
        <v>0.94785502180440107</v>
      </c>
      <c r="AQ60" s="25">
        <f t="shared" si="61"/>
        <v>0.40449173839088298</v>
      </c>
      <c r="AR60" s="25">
        <f t="shared" si="62"/>
        <v>6.3890888842022112E-2</v>
      </c>
      <c r="AS60" s="25">
        <f t="shared" si="63"/>
        <v>2.5620638631224366E-3</v>
      </c>
      <c r="AT60" s="9">
        <v>1</v>
      </c>
      <c r="AU60" s="30">
        <f t="shared" si="48"/>
        <v>7</v>
      </c>
      <c r="AV60" s="31">
        <f t="shared" si="64"/>
        <v>0</v>
      </c>
      <c r="AW60" s="31">
        <f t="shared" si="65"/>
        <v>0</v>
      </c>
      <c r="AX60" s="31">
        <f t="shared" si="66"/>
        <v>0</v>
      </c>
      <c r="AY60" s="31">
        <f t="shared" si="67"/>
        <v>0</v>
      </c>
      <c r="AZ60" s="31">
        <f t="shared" si="68"/>
        <v>10</v>
      </c>
      <c r="BA60" s="31">
        <f t="shared" si="69"/>
        <v>7</v>
      </c>
      <c r="BB60" s="31">
        <f t="shared" si="70"/>
        <v>7</v>
      </c>
      <c r="BC60" s="31">
        <f t="shared" si="71"/>
        <v>7</v>
      </c>
      <c r="BD60" s="31">
        <f t="shared" si="72"/>
        <v>7</v>
      </c>
      <c r="BE60" s="31">
        <f t="shared" si="73"/>
        <v>14</v>
      </c>
      <c r="BF60" s="31">
        <f t="shared" si="74"/>
        <v>0</v>
      </c>
      <c r="BG60" s="31">
        <f t="shared" si="75"/>
        <v>0</v>
      </c>
      <c r="BH60">
        <f t="shared" si="76"/>
        <v>0</v>
      </c>
      <c r="BI60">
        <f t="shared" si="77"/>
        <v>0</v>
      </c>
      <c r="BJ60">
        <f t="shared" si="78"/>
        <v>0</v>
      </c>
      <c r="BK60">
        <f t="shared" si="79"/>
        <v>0</v>
      </c>
      <c r="BL60">
        <f t="shared" si="80"/>
        <v>3</v>
      </c>
      <c r="BM60">
        <f t="shared" si="81"/>
        <v>4</v>
      </c>
      <c r="BN60">
        <f t="shared" si="82"/>
        <v>4</v>
      </c>
      <c r="BO60">
        <f t="shared" si="83"/>
        <v>4</v>
      </c>
      <c r="BP60">
        <f t="shared" si="84"/>
        <v>4</v>
      </c>
      <c r="BQ60">
        <f t="shared" si="85"/>
        <v>2</v>
      </c>
      <c r="BR60">
        <f t="shared" si="86"/>
        <v>0</v>
      </c>
      <c r="BS60">
        <f t="shared" si="87"/>
        <v>0</v>
      </c>
      <c r="BT60" s="4">
        <f t="shared" si="88"/>
        <v>21</v>
      </c>
      <c r="BU60" s="8" t="str">
        <f>LOOKUP(D60,'Mower Equipment EFs'!B$2:B$6,'Mower Equipment EFs'!A$2:A$6)</f>
        <v>Push Mower</v>
      </c>
      <c r="BV60" s="8">
        <f>LOOKUP(D60,'Mower Equipment EFs'!B$2:B$6,'Mower Equipment EFs'!H$2:H$6)</f>
        <v>15.88</v>
      </c>
      <c r="BW60">
        <f t="shared" si="89"/>
        <v>33.347999999999999</v>
      </c>
      <c r="BX60">
        <f t="shared" si="49"/>
        <v>3.5</v>
      </c>
      <c r="BY60" s="35">
        <f t="shared" si="90"/>
        <v>17.422582022552799</v>
      </c>
      <c r="BZ60">
        <f t="shared" si="91"/>
        <v>0.27378343178297254</v>
      </c>
      <c r="CA60">
        <v>0.23599999999999999</v>
      </c>
      <c r="CB60">
        <v>270</v>
      </c>
      <c r="CC60" s="5">
        <f t="shared" si="92"/>
        <v>73.921526581402588</v>
      </c>
      <c r="CD60" s="5">
        <f t="shared" si="93"/>
        <v>63.72</v>
      </c>
      <c r="CE60" s="32">
        <v>3.7810000000000001</v>
      </c>
      <c r="CF60" s="5">
        <f t="shared" si="94"/>
        <v>65.87478262727214</v>
      </c>
      <c r="CG60" s="26">
        <f t="shared" si="95"/>
        <v>173.14430920867471</v>
      </c>
      <c r="CH60" s="5">
        <f t="shared" si="96"/>
        <v>97.067999999999998</v>
      </c>
      <c r="CJ60" s="27"/>
      <c r="CK60" s="15"/>
      <c r="CL60" s="27"/>
    </row>
    <row r="61" spans="1:90">
      <c r="A61" t="s">
        <v>468</v>
      </c>
      <c r="B61" t="s">
        <v>471</v>
      </c>
      <c r="C61" t="s">
        <v>7</v>
      </c>
      <c r="D61" t="s">
        <v>9</v>
      </c>
      <c r="E61" s="9" t="s">
        <v>439</v>
      </c>
      <c r="F61" s="9" t="s">
        <v>226</v>
      </c>
      <c r="G61" t="s">
        <v>13</v>
      </c>
      <c r="H61">
        <v>34.0065014035291</v>
      </c>
      <c r="I61">
        <v>-118.322513670508</v>
      </c>
      <c r="J61" t="s">
        <v>51</v>
      </c>
      <c r="K61" t="s">
        <v>52</v>
      </c>
      <c r="L61" t="s">
        <v>445</v>
      </c>
      <c r="M61" t="s">
        <v>515</v>
      </c>
      <c r="N61">
        <v>0</v>
      </c>
      <c r="O61">
        <v>30</v>
      </c>
      <c r="P61">
        <v>7</v>
      </c>
      <c r="Q61">
        <v>81</v>
      </c>
      <c r="R61" t="s">
        <v>488</v>
      </c>
      <c r="S61" s="9" t="s">
        <v>581</v>
      </c>
      <c r="T61" s="22">
        <v>14.2</v>
      </c>
      <c r="U61" s="22">
        <v>14.5</v>
      </c>
      <c r="V61" s="22">
        <v>14.7</v>
      </c>
      <c r="W61" s="22">
        <v>15.8</v>
      </c>
      <c r="X61" s="22">
        <v>16.8</v>
      </c>
      <c r="Y61" s="22">
        <v>18.399999999999999</v>
      </c>
      <c r="Z61" s="22">
        <v>20.6</v>
      </c>
      <c r="AA61" s="22">
        <v>21.1</v>
      </c>
      <c r="AB61" s="22">
        <v>20.8</v>
      </c>
      <c r="AC61" s="22">
        <v>19.2</v>
      </c>
      <c r="AD61" s="22">
        <v>17.100000000000001</v>
      </c>
      <c r="AE61" s="22">
        <v>14.8</v>
      </c>
      <c r="AF61" s="24">
        <f t="shared" si="50"/>
        <v>5.5</v>
      </c>
      <c r="AG61" s="24">
        <f t="shared" si="51"/>
        <v>20</v>
      </c>
      <c r="AH61" s="25">
        <f t="shared" si="52"/>
        <v>0.57347951756177595</v>
      </c>
      <c r="AI61" s="25">
        <f t="shared" si="53"/>
        <v>0.60653065971263342</v>
      </c>
      <c r="AJ61" s="25">
        <f t="shared" si="54"/>
        <v>0.62857651214451937</v>
      </c>
      <c r="AK61" s="25">
        <f t="shared" si="55"/>
        <v>0.74708953026364133</v>
      </c>
      <c r="AL61" s="25">
        <f t="shared" si="56"/>
        <v>0.84429256931426844</v>
      </c>
      <c r="AM61" s="25">
        <f t="shared" si="57"/>
        <v>0.95856869519446675</v>
      </c>
      <c r="AN61" s="25">
        <f t="shared" si="58"/>
        <v>0.99406725542300312</v>
      </c>
      <c r="AO61" s="25">
        <f t="shared" si="59"/>
        <v>0.98019867330675525</v>
      </c>
      <c r="AP61" s="25">
        <f t="shared" si="60"/>
        <v>0.98947724328830844</v>
      </c>
      <c r="AQ61" s="25">
        <f t="shared" si="61"/>
        <v>0.98947724328830844</v>
      </c>
      <c r="AR61" s="25">
        <f t="shared" si="62"/>
        <v>0.87022083652079318</v>
      </c>
      <c r="AS61" s="25">
        <f t="shared" si="63"/>
        <v>0.63958090775294019</v>
      </c>
      <c r="AT61" s="9">
        <v>1</v>
      </c>
      <c r="AU61" s="30">
        <f t="shared" si="48"/>
        <v>7</v>
      </c>
      <c r="AV61" s="31">
        <f t="shared" si="64"/>
        <v>10</v>
      </c>
      <c r="AW61" s="31">
        <f t="shared" si="65"/>
        <v>10</v>
      </c>
      <c r="AX61" s="31">
        <f t="shared" si="66"/>
        <v>10</v>
      </c>
      <c r="AY61" s="31">
        <f t="shared" si="67"/>
        <v>10</v>
      </c>
      <c r="AZ61" s="31">
        <f t="shared" si="68"/>
        <v>7</v>
      </c>
      <c r="BA61" s="31">
        <f t="shared" si="69"/>
        <v>7</v>
      </c>
      <c r="BB61" s="31">
        <f t="shared" si="70"/>
        <v>7</v>
      </c>
      <c r="BC61" s="31">
        <f t="shared" si="71"/>
        <v>7</v>
      </c>
      <c r="BD61" s="31">
        <f t="shared" si="72"/>
        <v>7</v>
      </c>
      <c r="BE61" s="31">
        <f t="shared" si="73"/>
        <v>7</v>
      </c>
      <c r="BF61" s="31">
        <f t="shared" si="74"/>
        <v>7</v>
      </c>
      <c r="BG61" s="31">
        <f t="shared" si="75"/>
        <v>10</v>
      </c>
      <c r="BH61">
        <f t="shared" si="76"/>
        <v>3</v>
      </c>
      <c r="BI61">
        <f t="shared" si="77"/>
        <v>3</v>
      </c>
      <c r="BJ61">
        <f t="shared" si="78"/>
        <v>3</v>
      </c>
      <c r="BK61">
        <f t="shared" si="79"/>
        <v>3</v>
      </c>
      <c r="BL61">
        <f t="shared" si="80"/>
        <v>4</v>
      </c>
      <c r="BM61">
        <f t="shared" si="81"/>
        <v>4</v>
      </c>
      <c r="BN61">
        <f t="shared" si="82"/>
        <v>4</v>
      </c>
      <c r="BO61">
        <f t="shared" si="83"/>
        <v>4</v>
      </c>
      <c r="BP61">
        <f t="shared" si="84"/>
        <v>4</v>
      </c>
      <c r="BQ61">
        <f t="shared" si="85"/>
        <v>4</v>
      </c>
      <c r="BR61">
        <f t="shared" si="86"/>
        <v>4</v>
      </c>
      <c r="BS61">
        <f t="shared" si="87"/>
        <v>3</v>
      </c>
      <c r="BT61" s="4">
        <f t="shared" si="88"/>
        <v>43</v>
      </c>
      <c r="BU61" s="8" t="str">
        <f>LOOKUP(D61,'Mower Equipment EFs'!B$2:B$6,'Mower Equipment EFs'!A$2:A$6)</f>
        <v>Push Mower</v>
      </c>
      <c r="BV61" s="8">
        <f>LOOKUP(D61,'Mower Equipment EFs'!B$2:B$6,'Mower Equipment EFs'!H$2:H$6)</f>
        <v>15.88</v>
      </c>
      <c r="BW61">
        <f t="shared" si="89"/>
        <v>68.284000000000006</v>
      </c>
      <c r="BX61">
        <f t="shared" si="49"/>
        <v>3.5</v>
      </c>
      <c r="BY61" s="35">
        <f t="shared" si="90"/>
        <v>34.37545875319995</v>
      </c>
      <c r="BZ61">
        <f t="shared" si="91"/>
        <v>0.54018578040742782</v>
      </c>
      <c r="CA61">
        <v>0.23599999999999999</v>
      </c>
      <c r="CB61">
        <v>270</v>
      </c>
      <c r="CC61" s="5">
        <f t="shared" si="92"/>
        <v>145.8501607100055</v>
      </c>
      <c r="CD61" s="5">
        <f t="shared" si="93"/>
        <v>63.72</v>
      </c>
      <c r="CE61" s="32">
        <v>3.7810000000000001</v>
      </c>
      <c r="CF61" s="5">
        <f t="shared" si="94"/>
        <v>129.97360954584903</v>
      </c>
      <c r="CG61" s="26">
        <f t="shared" si="95"/>
        <v>344.10777025585458</v>
      </c>
      <c r="CH61" s="5">
        <f t="shared" si="96"/>
        <v>132.00400000000002</v>
      </c>
      <c r="CJ61" s="27"/>
      <c r="CK61" s="15"/>
      <c r="CL61" s="27"/>
    </row>
    <row r="62" spans="1:90">
      <c r="A62" t="s">
        <v>468</v>
      </c>
      <c r="B62" t="s">
        <v>474</v>
      </c>
      <c r="C62" t="s">
        <v>7</v>
      </c>
      <c r="D62" t="s">
        <v>9</v>
      </c>
      <c r="E62" s="9" t="s">
        <v>439</v>
      </c>
      <c r="F62" s="9" t="s">
        <v>227</v>
      </c>
      <c r="G62" s="9" t="s">
        <v>476</v>
      </c>
      <c r="H62">
        <v>25.7615341128549</v>
      </c>
      <c r="I62">
        <v>-80.236153706736502</v>
      </c>
      <c r="J62" t="s">
        <v>477</v>
      </c>
      <c r="K62" t="s">
        <v>478</v>
      </c>
      <c r="L62" t="s">
        <v>479</v>
      </c>
      <c r="M62" t="s">
        <v>513</v>
      </c>
      <c r="N62">
        <v>0</v>
      </c>
      <c r="O62">
        <v>30</v>
      </c>
      <c r="P62">
        <v>8</v>
      </c>
      <c r="Q62">
        <v>62</v>
      </c>
      <c r="R62" t="s">
        <v>484</v>
      </c>
      <c r="S62" s="9" t="s">
        <v>580</v>
      </c>
      <c r="T62" s="22">
        <v>20.100000000000001</v>
      </c>
      <c r="U62" s="22">
        <v>21.2</v>
      </c>
      <c r="V62" s="22">
        <v>22.6</v>
      </c>
      <c r="W62" s="22">
        <v>24.3</v>
      </c>
      <c r="X62" s="22">
        <v>26.6</v>
      </c>
      <c r="Y62" s="22">
        <v>28.2</v>
      </c>
      <c r="Z62" s="22">
        <v>28.9</v>
      </c>
      <c r="AA62" s="22">
        <v>29</v>
      </c>
      <c r="AB62" s="22">
        <v>28.3</v>
      </c>
      <c r="AC62" s="22">
        <v>26.6</v>
      </c>
      <c r="AD62" s="22">
        <v>23.8</v>
      </c>
      <c r="AE62" s="22">
        <v>21.4</v>
      </c>
      <c r="AF62" s="24">
        <f t="shared" si="50"/>
        <v>7</v>
      </c>
      <c r="AG62" s="24">
        <f t="shared" si="51"/>
        <v>31</v>
      </c>
      <c r="AH62" s="25">
        <f t="shared" si="52"/>
        <v>0.29749824928338175</v>
      </c>
      <c r="AI62" s="25">
        <f t="shared" si="53"/>
        <v>0.37531109885139946</v>
      </c>
      <c r="AJ62" s="25">
        <f t="shared" si="54"/>
        <v>0.48675225595997185</v>
      </c>
      <c r="AK62" s="25">
        <f t="shared" si="55"/>
        <v>0.6325087499963693</v>
      </c>
      <c r="AL62" s="25">
        <f t="shared" si="56"/>
        <v>0.82073826515819859</v>
      </c>
      <c r="AM62" s="25">
        <f t="shared" si="57"/>
        <v>0.92311634638663576</v>
      </c>
      <c r="AN62" s="25">
        <f t="shared" si="58"/>
        <v>0.95599748183309985</v>
      </c>
      <c r="AO62" s="25">
        <f t="shared" si="59"/>
        <v>0.96000544128547771</v>
      </c>
      <c r="AP62" s="25">
        <f t="shared" si="60"/>
        <v>0.92831166645961738</v>
      </c>
      <c r="AQ62" s="25">
        <f t="shared" si="61"/>
        <v>0.82073826515819859</v>
      </c>
      <c r="AR62" s="25">
        <f t="shared" si="62"/>
        <v>0.58920589353601671</v>
      </c>
      <c r="AS62" s="25">
        <f t="shared" si="63"/>
        <v>0.39046842796005682</v>
      </c>
      <c r="AT62" s="9">
        <v>1</v>
      </c>
      <c r="AU62" s="30">
        <f t="shared" si="48"/>
        <v>7</v>
      </c>
      <c r="AV62" s="31">
        <f t="shared" si="64"/>
        <v>14</v>
      </c>
      <c r="AW62" s="31">
        <f t="shared" si="65"/>
        <v>14</v>
      </c>
      <c r="AX62" s="31">
        <f t="shared" si="66"/>
        <v>14</v>
      </c>
      <c r="AY62" s="31">
        <f t="shared" si="67"/>
        <v>10</v>
      </c>
      <c r="AZ62" s="31">
        <f t="shared" si="68"/>
        <v>7</v>
      </c>
      <c r="BA62" s="31">
        <f t="shared" si="69"/>
        <v>7</v>
      </c>
      <c r="BB62" s="31">
        <f t="shared" si="70"/>
        <v>7</v>
      </c>
      <c r="BC62" s="31">
        <f t="shared" si="71"/>
        <v>7</v>
      </c>
      <c r="BD62" s="31">
        <f t="shared" si="72"/>
        <v>7</v>
      </c>
      <c r="BE62" s="31">
        <f t="shared" si="73"/>
        <v>7</v>
      </c>
      <c r="BF62" s="31">
        <f t="shared" si="74"/>
        <v>10</v>
      </c>
      <c r="BG62" s="31">
        <f t="shared" si="75"/>
        <v>14</v>
      </c>
      <c r="BH62">
        <f t="shared" si="76"/>
        <v>2</v>
      </c>
      <c r="BI62">
        <f t="shared" si="77"/>
        <v>2</v>
      </c>
      <c r="BJ62">
        <f t="shared" si="78"/>
        <v>2</v>
      </c>
      <c r="BK62">
        <f t="shared" si="79"/>
        <v>3</v>
      </c>
      <c r="BL62">
        <f t="shared" si="80"/>
        <v>4</v>
      </c>
      <c r="BM62">
        <f t="shared" si="81"/>
        <v>4</v>
      </c>
      <c r="BN62">
        <f t="shared" si="82"/>
        <v>4</v>
      </c>
      <c r="BO62">
        <f t="shared" si="83"/>
        <v>4</v>
      </c>
      <c r="BP62">
        <f t="shared" si="84"/>
        <v>4</v>
      </c>
      <c r="BQ62">
        <f t="shared" si="85"/>
        <v>4</v>
      </c>
      <c r="BR62">
        <f t="shared" si="86"/>
        <v>3</v>
      </c>
      <c r="BS62">
        <f t="shared" si="87"/>
        <v>2</v>
      </c>
      <c r="BT62" s="4">
        <f t="shared" si="88"/>
        <v>38</v>
      </c>
      <c r="BU62" s="8" t="str">
        <f>LOOKUP(D62,'Mower Equipment EFs'!B$2:B$6,'Mower Equipment EFs'!A$2:A$6)</f>
        <v>Push Mower</v>
      </c>
      <c r="BV62" s="8">
        <f>LOOKUP(D62,'Mower Equipment EFs'!B$2:B$6,'Mower Equipment EFs'!H$2:H$6)</f>
        <v>15.88</v>
      </c>
      <c r="BW62">
        <f t="shared" si="89"/>
        <v>60.344000000000001</v>
      </c>
      <c r="BX62">
        <f t="shared" si="49"/>
        <v>4</v>
      </c>
      <c r="BY62" s="35">
        <f t="shared" si="90"/>
        <v>32.722608567473692</v>
      </c>
      <c r="BZ62">
        <f t="shared" si="91"/>
        <v>0.51421242034601522</v>
      </c>
      <c r="CA62">
        <v>0.23599999999999999</v>
      </c>
      <c r="CB62">
        <v>270</v>
      </c>
      <c r="CC62" s="5">
        <f t="shared" si="92"/>
        <v>138.8373534934241</v>
      </c>
      <c r="CD62" s="5">
        <f t="shared" si="93"/>
        <v>63.72</v>
      </c>
      <c r="CE62" s="32">
        <v>3.7810000000000001</v>
      </c>
      <c r="CF62" s="5">
        <f t="shared" si="94"/>
        <v>123.72418299361803</v>
      </c>
      <c r="CG62" s="26">
        <f t="shared" si="95"/>
        <v>322.90553648704213</v>
      </c>
      <c r="CH62" s="5">
        <f t="shared" si="96"/>
        <v>124.06399999999999</v>
      </c>
      <c r="CJ62" s="27"/>
      <c r="CK62" s="15"/>
      <c r="CL62" s="27"/>
    </row>
    <row r="63" spans="1:90">
      <c r="A63" t="s">
        <v>468</v>
      </c>
      <c r="B63" t="s">
        <v>472</v>
      </c>
      <c r="C63" t="s">
        <v>7</v>
      </c>
      <c r="D63" t="s">
        <v>9</v>
      </c>
      <c r="E63" s="9" t="s">
        <v>439</v>
      </c>
      <c r="F63" s="9" t="s">
        <v>226</v>
      </c>
      <c r="G63" s="9" t="s">
        <v>20</v>
      </c>
      <c r="H63">
        <v>44.9429152091258</v>
      </c>
      <c r="I63">
        <v>-93.293760568428397</v>
      </c>
      <c r="J63" t="s">
        <v>45</v>
      </c>
      <c r="K63" s="9" t="s">
        <v>448</v>
      </c>
      <c r="L63" s="9" t="s">
        <v>446</v>
      </c>
      <c r="M63" s="9" t="s">
        <v>439</v>
      </c>
      <c r="N63">
        <v>0</v>
      </c>
      <c r="O63">
        <v>30</v>
      </c>
      <c r="P63">
        <v>6</v>
      </c>
      <c r="Q63">
        <v>101</v>
      </c>
      <c r="R63" t="s">
        <v>483</v>
      </c>
      <c r="S63" s="9" t="s">
        <v>579</v>
      </c>
      <c r="T63" s="22">
        <v>-9.1</v>
      </c>
      <c r="U63" s="22">
        <v>-6.2</v>
      </c>
      <c r="V63" s="22">
        <v>0.4</v>
      </c>
      <c r="W63" s="22">
        <v>8.6</v>
      </c>
      <c r="X63" s="22">
        <v>15.1</v>
      </c>
      <c r="Y63" s="22">
        <v>20.399999999999999</v>
      </c>
      <c r="Z63" s="22">
        <v>23.2</v>
      </c>
      <c r="AA63" s="22">
        <v>21.8</v>
      </c>
      <c r="AB63" s="22">
        <v>16.7</v>
      </c>
      <c r="AC63" s="22">
        <v>9.4</v>
      </c>
      <c r="AD63" s="22">
        <v>0.9</v>
      </c>
      <c r="AE63" s="22">
        <v>-6.8</v>
      </c>
      <c r="AF63" s="24">
        <f t="shared" si="50"/>
        <v>5.5</v>
      </c>
      <c r="AG63" s="24">
        <f t="shared" si="51"/>
        <v>20</v>
      </c>
      <c r="AH63" s="25">
        <f t="shared" si="52"/>
        <v>8.3414423647091076E-7</v>
      </c>
      <c r="AI63" s="25">
        <f t="shared" si="53"/>
        <v>1.1815294727032181E-5</v>
      </c>
      <c r="AJ63" s="25">
        <f t="shared" si="54"/>
        <v>1.7471802677552638E-3</v>
      </c>
      <c r="AK63" s="25">
        <f t="shared" si="55"/>
        <v>0.11670578451141717</v>
      </c>
      <c r="AL63" s="25">
        <f t="shared" si="56"/>
        <v>0.67242849242096014</v>
      </c>
      <c r="AM63" s="25">
        <f t="shared" si="57"/>
        <v>0.99735886584897482</v>
      </c>
      <c r="AN63" s="25">
        <f t="shared" si="58"/>
        <v>0.84429256931426844</v>
      </c>
      <c r="AO63" s="25">
        <f t="shared" si="59"/>
        <v>0.94785502180440107</v>
      </c>
      <c r="AP63" s="25">
        <f t="shared" si="60"/>
        <v>0.835270211411272</v>
      </c>
      <c r="AQ63" s="25">
        <f t="shared" si="61"/>
        <v>0.15611067273703377</v>
      </c>
      <c r="AR63" s="25">
        <f t="shared" si="62"/>
        <v>2.4056927879899156E-3</v>
      </c>
      <c r="AS63" s="25">
        <f t="shared" si="63"/>
        <v>6.9850700463870926E-6</v>
      </c>
      <c r="AT63" s="9">
        <v>1</v>
      </c>
      <c r="AU63" s="30">
        <f t="shared" si="48"/>
        <v>7</v>
      </c>
      <c r="AV63" s="31">
        <f t="shared" si="64"/>
        <v>0</v>
      </c>
      <c r="AW63" s="31">
        <f t="shared" si="65"/>
        <v>0</v>
      </c>
      <c r="AX63" s="31">
        <f t="shared" si="66"/>
        <v>0</v>
      </c>
      <c r="AY63" s="31">
        <f t="shared" si="67"/>
        <v>0</v>
      </c>
      <c r="AZ63" s="31">
        <f t="shared" si="68"/>
        <v>10</v>
      </c>
      <c r="BA63" s="31">
        <f t="shared" si="69"/>
        <v>7</v>
      </c>
      <c r="BB63" s="31">
        <f t="shared" si="70"/>
        <v>7</v>
      </c>
      <c r="BC63" s="31">
        <f t="shared" si="71"/>
        <v>7</v>
      </c>
      <c r="BD63" s="31">
        <f t="shared" si="72"/>
        <v>7</v>
      </c>
      <c r="BE63" s="31">
        <f t="shared" si="73"/>
        <v>0</v>
      </c>
      <c r="BF63" s="31">
        <f t="shared" si="74"/>
        <v>0</v>
      </c>
      <c r="BG63" s="31">
        <f t="shared" si="75"/>
        <v>0</v>
      </c>
      <c r="BH63">
        <f t="shared" si="76"/>
        <v>0</v>
      </c>
      <c r="BI63">
        <f t="shared" si="77"/>
        <v>0</v>
      </c>
      <c r="BJ63">
        <f t="shared" si="78"/>
        <v>0</v>
      </c>
      <c r="BK63">
        <f t="shared" si="79"/>
        <v>0</v>
      </c>
      <c r="BL63">
        <f t="shared" si="80"/>
        <v>3</v>
      </c>
      <c r="BM63">
        <f t="shared" si="81"/>
        <v>4</v>
      </c>
      <c r="BN63">
        <f t="shared" si="82"/>
        <v>4</v>
      </c>
      <c r="BO63">
        <f t="shared" si="83"/>
        <v>4</v>
      </c>
      <c r="BP63">
        <f t="shared" si="84"/>
        <v>4</v>
      </c>
      <c r="BQ63">
        <f t="shared" si="85"/>
        <v>0</v>
      </c>
      <c r="BR63">
        <f t="shared" si="86"/>
        <v>0</v>
      </c>
      <c r="BS63">
        <f t="shared" si="87"/>
        <v>0</v>
      </c>
      <c r="BT63" s="4">
        <f t="shared" si="88"/>
        <v>19</v>
      </c>
      <c r="BU63" s="8" t="str">
        <f>LOOKUP(D63,'Mower Equipment EFs'!B$2:B$6,'Mower Equipment EFs'!A$2:A$6)</f>
        <v>Push Mower</v>
      </c>
      <c r="BV63" s="8">
        <f>LOOKUP(D63,'Mower Equipment EFs'!B$2:B$6,'Mower Equipment EFs'!H$2:H$6)</f>
        <v>15.88</v>
      </c>
      <c r="BW63">
        <f t="shared" si="89"/>
        <v>30.172000000000001</v>
      </c>
      <c r="BX63">
        <f t="shared" si="49"/>
        <v>3.5</v>
      </c>
      <c r="BY63" s="35">
        <f t="shared" si="90"/>
        <v>16.009679439645794</v>
      </c>
      <c r="BZ63">
        <f t="shared" si="91"/>
        <v>0.2515806769087196</v>
      </c>
      <c r="CA63">
        <v>0.23599999999999999</v>
      </c>
      <c r="CB63">
        <v>270</v>
      </c>
      <c r="CC63" s="5">
        <f t="shared" si="92"/>
        <v>67.926782765354289</v>
      </c>
      <c r="CD63" s="5">
        <f t="shared" si="93"/>
        <v>63.72</v>
      </c>
      <c r="CE63" s="32">
        <v>3.7810000000000001</v>
      </c>
      <c r="CF63" s="5">
        <f t="shared" si="94"/>
        <v>60.532597961300752</v>
      </c>
      <c r="CG63" s="26">
        <f t="shared" si="95"/>
        <v>158.63138072665504</v>
      </c>
      <c r="CH63" s="5">
        <f t="shared" si="96"/>
        <v>93.891999999999996</v>
      </c>
      <c r="CJ63" s="27"/>
      <c r="CK63" s="15"/>
      <c r="CL63" s="27"/>
    </row>
    <row r="64" spans="1:90">
      <c r="A64" t="s">
        <v>468</v>
      </c>
      <c r="B64" t="s">
        <v>473</v>
      </c>
      <c r="C64" t="s">
        <v>7</v>
      </c>
      <c r="D64" t="s">
        <v>9</v>
      </c>
      <c r="E64" s="9" t="s">
        <v>439</v>
      </c>
      <c r="F64" s="9" t="s">
        <v>227</v>
      </c>
      <c r="G64" s="9" t="s">
        <v>22</v>
      </c>
      <c r="H64">
        <v>33.404836585697801</v>
      </c>
      <c r="I64">
        <v>-112.086826125695</v>
      </c>
      <c r="J64" t="s">
        <v>48</v>
      </c>
      <c r="K64" t="s">
        <v>28</v>
      </c>
      <c r="L64" t="s">
        <v>444</v>
      </c>
      <c r="M64" t="s">
        <v>514</v>
      </c>
      <c r="N64">
        <v>0</v>
      </c>
      <c r="O64">
        <v>30</v>
      </c>
      <c r="P64">
        <v>7</v>
      </c>
      <c r="Q64">
        <v>59</v>
      </c>
      <c r="R64" t="s">
        <v>482</v>
      </c>
      <c r="S64" s="9" t="s">
        <v>578</v>
      </c>
      <c r="T64" s="22">
        <v>13.6</v>
      </c>
      <c r="U64" s="22">
        <v>15.4</v>
      </c>
      <c r="V64" s="22">
        <v>18.399999999999999</v>
      </c>
      <c r="W64" s="22">
        <v>22.6</v>
      </c>
      <c r="X64" s="22">
        <v>27.8</v>
      </c>
      <c r="Y64" s="22">
        <v>32.700000000000003</v>
      </c>
      <c r="Z64" s="22">
        <v>34.9</v>
      </c>
      <c r="AA64" s="22">
        <v>34.200000000000003</v>
      </c>
      <c r="AB64" s="22">
        <v>31.3</v>
      </c>
      <c r="AC64" s="22">
        <v>24.8</v>
      </c>
      <c r="AD64" s="22">
        <v>17.8</v>
      </c>
      <c r="AE64" s="22">
        <v>13</v>
      </c>
      <c r="AF64" s="24">
        <f t="shared" si="50"/>
        <v>7</v>
      </c>
      <c r="AG64" s="24">
        <f t="shared" si="51"/>
        <v>31</v>
      </c>
      <c r="AH64" s="25">
        <f t="shared" si="52"/>
        <v>4.552982127385679E-2</v>
      </c>
      <c r="AI64" s="25">
        <f t="shared" si="53"/>
        <v>8.3470224283944489E-2</v>
      </c>
      <c r="AJ64" s="25">
        <f t="shared" si="54"/>
        <v>0.19789869908361457</v>
      </c>
      <c r="AK64" s="25">
        <f t="shared" si="55"/>
        <v>0.48675225595997185</v>
      </c>
      <c r="AL64" s="25">
        <f t="shared" si="56"/>
        <v>0.90078398903334456</v>
      </c>
      <c r="AM64" s="25">
        <f t="shared" si="57"/>
        <v>0.97094078514967774</v>
      </c>
      <c r="AN64" s="25">
        <f t="shared" si="58"/>
        <v>0.85624041670930251</v>
      </c>
      <c r="AO64" s="25">
        <f t="shared" si="59"/>
        <v>0.90078398903334433</v>
      </c>
      <c r="AP64" s="25">
        <f t="shared" si="60"/>
        <v>0.99908205422329122</v>
      </c>
      <c r="AQ64" s="25">
        <f t="shared" si="61"/>
        <v>0.67553865566313176</v>
      </c>
      <c r="AR64" s="25">
        <f t="shared" si="62"/>
        <v>0.16898265817498634</v>
      </c>
      <c r="AS64" s="25">
        <f t="shared" si="63"/>
        <v>3.6658041953377997E-2</v>
      </c>
      <c r="AT64" s="9">
        <v>1</v>
      </c>
      <c r="AU64" s="30">
        <f t="shared" si="48"/>
        <v>7</v>
      </c>
      <c r="AV64" s="31">
        <f t="shared" si="64"/>
        <v>0</v>
      </c>
      <c r="AW64" s="31">
        <f t="shared" si="65"/>
        <v>0</v>
      </c>
      <c r="AX64" s="31">
        <f t="shared" si="66"/>
        <v>0</v>
      </c>
      <c r="AY64" s="31">
        <f t="shared" si="67"/>
        <v>14</v>
      </c>
      <c r="AZ64" s="31">
        <f t="shared" si="68"/>
        <v>7</v>
      </c>
      <c r="BA64" s="31">
        <f t="shared" si="69"/>
        <v>7</v>
      </c>
      <c r="BB64" s="31">
        <f t="shared" si="70"/>
        <v>7</v>
      </c>
      <c r="BC64" s="31">
        <f t="shared" si="71"/>
        <v>7</v>
      </c>
      <c r="BD64" s="31">
        <f t="shared" si="72"/>
        <v>7</v>
      </c>
      <c r="BE64" s="31">
        <f t="shared" si="73"/>
        <v>10</v>
      </c>
      <c r="BF64" s="31">
        <f t="shared" si="74"/>
        <v>0</v>
      </c>
      <c r="BG64" s="31">
        <f t="shared" si="75"/>
        <v>0</v>
      </c>
      <c r="BH64">
        <f t="shared" si="76"/>
        <v>0</v>
      </c>
      <c r="BI64">
        <f t="shared" si="77"/>
        <v>0</v>
      </c>
      <c r="BJ64">
        <f t="shared" si="78"/>
        <v>0</v>
      </c>
      <c r="BK64">
        <f t="shared" si="79"/>
        <v>2</v>
      </c>
      <c r="BL64">
        <f t="shared" si="80"/>
        <v>4</v>
      </c>
      <c r="BM64">
        <f t="shared" si="81"/>
        <v>4</v>
      </c>
      <c r="BN64">
        <f t="shared" si="82"/>
        <v>4</v>
      </c>
      <c r="BO64">
        <f t="shared" si="83"/>
        <v>4</v>
      </c>
      <c r="BP64">
        <f t="shared" si="84"/>
        <v>4</v>
      </c>
      <c r="BQ64">
        <f t="shared" si="85"/>
        <v>3</v>
      </c>
      <c r="BR64">
        <f t="shared" si="86"/>
        <v>0</v>
      </c>
      <c r="BS64">
        <f t="shared" si="87"/>
        <v>0</v>
      </c>
      <c r="BT64" s="4">
        <f t="shared" si="88"/>
        <v>25</v>
      </c>
      <c r="BU64" s="8" t="str">
        <f>LOOKUP(D64,'Mower Equipment EFs'!B$2:B$6,'Mower Equipment EFs'!A$2:A$6)</f>
        <v>Push Mower</v>
      </c>
      <c r="BV64" s="8">
        <f>LOOKUP(D64,'Mower Equipment EFs'!B$2:B$6,'Mower Equipment EFs'!H$2:H$6)</f>
        <v>15.88</v>
      </c>
      <c r="BW64">
        <f t="shared" si="89"/>
        <v>39.700000000000003</v>
      </c>
      <c r="BX64">
        <f t="shared" si="49"/>
        <v>4</v>
      </c>
      <c r="BY64" s="35">
        <f t="shared" si="90"/>
        <v>25.290646362167376</v>
      </c>
      <c r="BZ64">
        <f t="shared" si="91"/>
        <v>0.3974244428340587</v>
      </c>
      <c r="CA64">
        <v>0.23599999999999999</v>
      </c>
      <c r="CB64">
        <v>270</v>
      </c>
      <c r="CC64" s="5">
        <f t="shared" si="92"/>
        <v>107.30459956519584</v>
      </c>
      <c r="CD64" s="5">
        <f t="shared" si="93"/>
        <v>63.72</v>
      </c>
      <c r="CE64" s="32">
        <v>3.7810000000000001</v>
      </c>
      <c r="CF64" s="5">
        <f t="shared" si="94"/>
        <v>95.623933895354853</v>
      </c>
      <c r="CG64" s="26">
        <f t="shared" si="95"/>
        <v>242.62853346055073</v>
      </c>
      <c r="CH64" s="5">
        <f t="shared" si="96"/>
        <v>103.42</v>
      </c>
      <c r="CJ64" s="27"/>
      <c r="CK64" s="15"/>
      <c r="CL64" s="27"/>
    </row>
    <row r="65" spans="1:90">
      <c r="A65" t="s">
        <v>131</v>
      </c>
      <c r="B65" t="s">
        <v>134</v>
      </c>
      <c r="C65" t="s">
        <v>7</v>
      </c>
      <c r="D65" t="s">
        <v>8</v>
      </c>
      <c r="E65" t="s">
        <v>210</v>
      </c>
      <c r="F65" t="s">
        <v>227</v>
      </c>
      <c r="G65" t="s">
        <v>136</v>
      </c>
      <c r="H65">
        <v>35.947297700166601</v>
      </c>
      <c r="I65">
        <v>-78.951867998147605</v>
      </c>
      <c r="J65" t="s">
        <v>47</v>
      </c>
      <c r="K65" t="s">
        <v>11</v>
      </c>
      <c r="L65" t="s">
        <v>11</v>
      </c>
      <c r="M65" t="s">
        <v>513</v>
      </c>
      <c r="N65">
        <v>0</v>
      </c>
      <c r="O65">
        <v>10</v>
      </c>
      <c r="P65">
        <v>10</v>
      </c>
      <c r="Q65">
        <v>80</v>
      </c>
      <c r="R65" t="s">
        <v>162</v>
      </c>
      <c r="S65" s="9" t="s">
        <v>577</v>
      </c>
      <c r="T65" s="22">
        <v>4.3</v>
      </c>
      <c r="U65" s="22">
        <v>5.5</v>
      </c>
      <c r="V65" s="22">
        <v>9.6999999999999993</v>
      </c>
      <c r="W65" s="22">
        <v>14.9</v>
      </c>
      <c r="X65" s="22">
        <v>19.5</v>
      </c>
      <c r="Y65" s="22">
        <v>23.8</v>
      </c>
      <c r="Z65" s="22">
        <v>25.6</v>
      </c>
      <c r="AA65" s="22">
        <v>24.9</v>
      </c>
      <c r="AB65" s="22">
        <v>21.7</v>
      </c>
      <c r="AC65" s="22">
        <v>15.4</v>
      </c>
      <c r="AD65" s="22">
        <v>9.8000000000000007</v>
      </c>
      <c r="AE65" s="22">
        <v>5.4</v>
      </c>
      <c r="AF65" s="24">
        <f t="shared" si="50"/>
        <v>7</v>
      </c>
      <c r="AG65" s="24">
        <f t="shared" si="51"/>
        <v>31</v>
      </c>
      <c r="AH65" s="25">
        <f t="shared" si="52"/>
        <v>6.9306431592925603E-4</v>
      </c>
      <c r="AI65" s="25">
        <f t="shared" si="53"/>
        <v>1.3133106952179579E-3</v>
      </c>
      <c r="AJ65" s="25">
        <f t="shared" si="54"/>
        <v>9.7597372900901196E-3</v>
      </c>
      <c r="AK65" s="25">
        <f t="shared" si="55"/>
        <v>7.1005353739636942E-2</v>
      </c>
      <c r="AL65" s="25">
        <f t="shared" si="56"/>
        <v>0.25937255983191909</v>
      </c>
      <c r="AM65" s="25">
        <f t="shared" si="57"/>
        <v>0.58920589353601671</v>
      </c>
      <c r="AN65" s="25">
        <f t="shared" si="58"/>
        <v>0.74263469272905713</v>
      </c>
      <c r="AO65" s="25">
        <f t="shared" si="59"/>
        <v>0.68407078658762877</v>
      </c>
      <c r="AP65" s="25">
        <f t="shared" si="60"/>
        <v>0.41372614050444023</v>
      </c>
      <c r="AQ65" s="25">
        <f t="shared" si="61"/>
        <v>8.3470224283944489E-2</v>
      </c>
      <c r="AR65" s="25">
        <f t="shared" si="62"/>
        <v>1.0192303024617159E-2</v>
      </c>
      <c r="AS65" s="25">
        <f t="shared" si="63"/>
        <v>1.2465856577176535E-3</v>
      </c>
      <c r="AT65" s="9">
        <v>2</v>
      </c>
      <c r="AU65" s="30">
        <f t="shared" si="48"/>
        <v>3.5</v>
      </c>
      <c r="AV65" s="31">
        <f t="shared" si="64"/>
        <v>0</v>
      </c>
      <c r="AW65" s="31">
        <f t="shared" si="65"/>
        <v>0</v>
      </c>
      <c r="AX65" s="31">
        <f t="shared" si="66"/>
        <v>0</v>
      </c>
      <c r="AY65" s="31">
        <f t="shared" si="67"/>
        <v>0</v>
      </c>
      <c r="AZ65" s="31">
        <f t="shared" si="68"/>
        <v>7</v>
      </c>
      <c r="BA65" s="31">
        <f t="shared" si="69"/>
        <v>5</v>
      </c>
      <c r="BB65" s="31">
        <f t="shared" si="70"/>
        <v>5</v>
      </c>
      <c r="BC65" s="31">
        <f t="shared" si="71"/>
        <v>5</v>
      </c>
      <c r="BD65" s="31">
        <f t="shared" si="72"/>
        <v>7</v>
      </c>
      <c r="BE65" s="31">
        <f t="shared" si="73"/>
        <v>0</v>
      </c>
      <c r="BF65" s="31">
        <f t="shared" si="74"/>
        <v>0</v>
      </c>
      <c r="BG65" s="31">
        <f t="shared" si="75"/>
        <v>0</v>
      </c>
      <c r="BH65">
        <f t="shared" si="76"/>
        <v>0</v>
      </c>
      <c r="BI65">
        <f t="shared" si="77"/>
        <v>0</v>
      </c>
      <c r="BJ65">
        <f t="shared" si="78"/>
        <v>0</v>
      </c>
      <c r="BK65">
        <f t="shared" si="79"/>
        <v>0</v>
      </c>
      <c r="BL65">
        <f t="shared" si="80"/>
        <v>4</v>
      </c>
      <c r="BM65">
        <f t="shared" si="81"/>
        <v>6</v>
      </c>
      <c r="BN65">
        <f t="shared" si="82"/>
        <v>6</v>
      </c>
      <c r="BO65">
        <f t="shared" si="83"/>
        <v>6</v>
      </c>
      <c r="BP65">
        <f t="shared" si="84"/>
        <v>4</v>
      </c>
      <c r="BQ65">
        <f t="shared" si="85"/>
        <v>0</v>
      </c>
      <c r="BR65">
        <f t="shared" si="86"/>
        <v>0</v>
      </c>
      <c r="BS65">
        <f t="shared" si="87"/>
        <v>0</v>
      </c>
      <c r="BT65" s="4">
        <f t="shared" si="88"/>
        <v>26</v>
      </c>
      <c r="BU65" s="8" t="str">
        <f>LOOKUP(D65,'Mower Equipment EFs'!B$2:B$6,'Mower Equipment EFs'!A$2:A$6)</f>
        <v>John Deere 7500A fairway mower</v>
      </c>
      <c r="BV65" s="8">
        <f>LOOKUP(D65,'Mower Equipment EFs'!B$2:B$6,'Mower Equipment EFs'!H$2:H$6)</f>
        <v>2.2621799999999999</v>
      </c>
      <c r="BW65">
        <f t="shared" si="89"/>
        <v>5.8816679999999995</v>
      </c>
      <c r="BX65">
        <f t="shared" si="49"/>
        <v>4</v>
      </c>
      <c r="BY65" s="35">
        <f t="shared" si="90"/>
        <v>11.466762608784862</v>
      </c>
      <c r="BZ65">
        <f t="shared" si="91"/>
        <v>0.18019198385233356</v>
      </c>
      <c r="CA65">
        <v>0.23599999999999999</v>
      </c>
      <c r="CB65">
        <v>270</v>
      </c>
      <c r="CC65" s="5">
        <f t="shared" si="92"/>
        <v>48.651835640130059</v>
      </c>
      <c r="CD65" s="5">
        <f t="shared" si="93"/>
        <v>63.72</v>
      </c>
      <c r="CE65" s="32">
        <v>3.7810000000000001</v>
      </c>
      <c r="CF65" s="5">
        <f t="shared" si="94"/>
        <v>43.355829423815564</v>
      </c>
      <c r="CG65" s="26">
        <f t="shared" si="95"/>
        <v>97.889333063945628</v>
      </c>
      <c r="CH65" s="5">
        <f t="shared" si="96"/>
        <v>69.601668000000004</v>
      </c>
      <c r="CJ65" s="27"/>
      <c r="CK65" s="15"/>
      <c r="CL65" s="27"/>
    </row>
    <row r="66" spans="1:90" s="9" customFormat="1">
      <c r="A66" t="s">
        <v>131</v>
      </c>
      <c r="B66" t="s">
        <v>133</v>
      </c>
      <c r="C66" t="s">
        <v>7</v>
      </c>
      <c r="D66" t="s">
        <v>8</v>
      </c>
      <c r="E66" t="s">
        <v>210</v>
      </c>
      <c r="F66" t="s">
        <v>227</v>
      </c>
      <c r="G66" t="s">
        <v>136</v>
      </c>
      <c r="H66">
        <v>35.947297700166601</v>
      </c>
      <c r="I66">
        <v>-78.951867998147605</v>
      </c>
      <c r="J66" t="s">
        <v>47</v>
      </c>
      <c r="K66" t="s">
        <v>11</v>
      </c>
      <c r="L66" t="s">
        <v>11</v>
      </c>
      <c r="M66" t="s">
        <v>513</v>
      </c>
      <c r="N66">
        <v>0</v>
      </c>
      <c r="O66">
        <v>10</v>
      </c>
      <c r="P66">
        <v>0</v>
      </c>
      <c r="Q66">
        <v>10</v>
      </c>
      <c r="R66" t="s">
        <v>135</v>
      </c>
      <c r="S66" s="9" t="s">
        <v>576</v>
      </c>
      <c r="T66" s="22">
        <v>4.3</v>
      </c>
      <c r="U66" s="22">
        <v>5.5</v>
      </c>
      <c r="V66" s="22">
        <v>9.6999999999999993</v>
      </c>
      <c r="W66" s="22">
        <v>14.9</v>
      </c>
      <c r="X66" s="22">
        <v>19.5</v>
      </c>
      <c r="Y66" s="22">
        <v>23.8</v>
      </c>
      <c r="Z66" s="22">
        <v>25.6</v>
      </c>
      <c r="AA66" s="22">
        <v>24.9</v>
      </c>
      <c r="AB66" s="22">
        <v>21.7</v>
      </c>
      <c r="AC66" s="22">
        <v>15.4</v>
      </c>
      <c r="AD66" s="22">
        <v>9.8000000000000007</v>
      </c>
      <c r="AE66" s="22">
        <v>5.4</v>
      </c>
      <c r="AF66" s="24">
        <f t="shared" si="50"/>
        <v>7</v>
      </c>
      <c r="AG66" s="24">
        <f t="shared" si="51"/>
        <v>31</v>
      </c>
      <c r="AH66" s="25">
        <f t="shared" si="52"/>
        <v>6.9306431592925603E-4</v>
      </c>
      <c r="AI66" s="25">
        <f t="shared" si="53"/>
        <v>1.3133106952179579E-3</v>
      </c>
      <c r="AJ66" s="25">
        <f t="shared" si="54"/>
        <v>9.7597372900901196E-3</v>
      </c>
      <c r="AK66" s="25">
        <f t="shared" si="55"/>
        <v>7.1005353739636942E-2</v>
      </c>
      <c r="AL66" s="25">
        <f t="shared" si="56"/>
        <v>0.25937255983191909</v>
      </c>
      <c r="AM66" s="25">
        <f t="shared" si="57"/>
        <v>0.58920589353601671</v>
      </c>
      <c r="AN66" s="25">
        <f t="shared" si="58"/>
        <v>0.74263469272905713</v>
      </c>
      <c r="AO66" s="25">
        <f t="shared" si="59"/>
        <v>0.68407078658762877</v>
      </c>
      <c r="AP66" s="25">
        <f t="shared" si="60"/>
        <v>0.41372614050444023</v>
      </c>
      <c r="AQ66" s="25">
        <f t="shared" si="61"/>
        <v>8.3470224283944489E-2</v>
      </c>
      <c r="AR66" s="25">
        <f t="shared" si="62"/>
        <v>1.0192303024617159E-2</v>
      </c>
      <c r="AS66" s="25">
        <f t="shared" si="63"/>
        <v>1.2465856577176535E-3</v>
      </c>
      <c r="AT66" s="9">
        <v>2</v>
      </c>
      <c r="AU66" s="30">
        <f t="shared" si="48"/>
        <v>3.5</v>
      </c>
      <c r="AV66" s="31">
        <f t="shared" si="64"/>
        <v>0</v>
      </c>
      <c r="AW66" s="31">
        <f t="shared" si="65"/>
        <v>0</v>
      </c>
      <c r="AX66" s="31">
        <f t="shared" si="66"/>
        <v>0</v>
      </c>
      <c r="AY66" s="31">
        <f t="shared" si="67"/>
        <v>0</v>
      </c>
      <c r="AZ66" s="31">
        <f t="shared" si="68"/>
        <v>7</v>
      </c>
      <c r="BA66" s="31">
        <f t="shared" si="69"/>
        <v>5</v>
      </c>
      <c r="BB66" s="31">
        <f t="shared" si="70"/>
        <v>5</v>
      </c>
      <c r="BC66" s="31">
        <f t="shared" si="71"/>
        <v>5</v>
      </c>
      <c r="BD66" s="31">
        <f t="shared" si="72"/>
        <v>7</v>
      </c>
      <c r="BE66" s="31">
        <f t="shared" si="73"/>
        <v>0</v>
      </c>
      <c r="BF66" s="31">
        <f t="shared" si="74"/>
        <v>0</v>
      </c>
      <c r="BG66" s="31">
        <f t="shared" si="75"/>
        <v>0</v>
      </c>
      <c r="BH66">
        <f t="shared" si="76"/>
        <v>0</v>
      </c>
      <c r="BI66">
        <f t="shared" si="77"/>
        <v>0</v>
      </c>
      <c r="BJ66">
        <f t="shared" si="78"/>
        <v>0</v>
      </c>
      <c r="BK66">
        <f t="shared" si="79"/>
        <v>0</v>
      </c>
      <c r="BL66">
        <f t="shared" si="80"/>
        <v>4</v>
      </c>
      <c r="BM66">
        <f t="shared" si="81"/>
        <v>6</v>
      </c>
      <c r="BN66">
        <f t="shared" si="82"/>
        <v>6</v>
      </c>
      <c r="BO66">
        <f t="shared" si="83"/>
        <v>6</v>
      </c>
      <c r="BP66">
        <f t="shared" si="84"/>
        <v>4</v>
      </c>
      <c r="BQ66">
        <f t="shared" si="85"/>
        <v>0</v>
      </c>
      <c r="BR66">
        <f t="shared" si="86"/>
        <v>0</v>
      </c>
      <c r="BS66">
        <f t="shared" si="87"/>
        <v>0</v>
      </c>
      <c r="BT66" s="4">
        <f t="shared" ref="BT66" si="97">ROUND(SUM(BH66:BS66),0)</f>
        <v>26</v>
      </c>
      <c r="BU66" s="8" t="str">
        <f>LOOKUP(D66,'Mower Equipment EFs'!B$2:B$6,'Mower Equipment EFs'!A$2:A$6)</f>
        <v>John Deere 7500A fairway mower</v>
      </c>
      <c r="BV66" s="8">
        <f>LOOKUP(D66,'Mower Equipment EFs'!B$2:B$6,'Mower Equipment EFs'!H$2:H$6)</f>
        <v>2.2621799999999999</v>
      </c>
      <c r="BW66">
        <f t="shared" ref="BW66" si="98">BV66/10*BT66</f>
        <v>5.8816679999999995</v>
      </c>
      <c r="BX66">
        <f t="shared" si="49"/>
        <v>4</v>
      </c>
      <c r="BY66" s="35">
        <f t="shared" ref="BY66" si="99">BX66*SUM(AH66:AS66)</f>
        <v>11.466762608784862</v>
      </c>
      <c r="BZ66">
        <f t="shared" ref="BZ66" si="100">0.01*BY66*(44/28)</f>
        <v>0.18019198385233356</v>
      </c>
      <c r="CA66">
        <v>0.23599999999999999</v>
      </c>
      <c r="CB66">
        <v>270</v>
      </c>
      <c r="CC66" s="5">
        <f t="shared" ref="CC66" si="101">CB66*BZ66</f>
        <v>48.651835640130059</v>
      </c>
      <c r="CD66" s="5">
        <f t="shared" si="93"/>
        <v>63.72</v>
      </c>
      <c r="CE66" s="32">
        <v>3.7810000000000001</v>
      </c>
      <c r="CF66" s="5">
        <f t="shared" ref="CF66" si="102">CE66*BY66</f>
        <v>43.355829423815564</v>
      </c>
      <c r="CG66" s="26">
        <f t="shared" ref="CG66" si="103">CC66+BW66+CF66</f>
        <v>97.889333063945628</v>
      </c>
      <c r="CH66" s="5">
        <f t="shared" si="96"/>
        <v>69.601668000000004</v>
      </c>
      <c r="CI66"/>
      <c r="CJ66" s="27"/>
      <c r="CK66" s="15"/>
      <c r="CL66" s="27"/>
    </row>
    <row r="68" spans="1:90">
      <c r="CC68" s="5"/>
      <c r="CD68" s="4"/>
      <c r="CF68" s="5"/>
    </row>
    <row r="69" spans="1:90">
      <c r="CC69" s="5"/>
      <c r="CD69" s="4"/>
      <c r="CF69" s="5"/>
    </row>
  </sheetData>
  <autoFilter ref="A1:CL66" xr:uid="{D2C0BBB5-AE98-4CC9-960A-A5D812DF1540}"/>
  <pageMargins left="0.7" right="0.7" top="0.75" bottom="0.75" header="0.3" footer="0.3"/>
  <pageSetup scale="22"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D8744-5D1B-4CE9-B893-80D175A31E1B}">
  <dimension ref="A1:H6"/>
  <sheetViews>
    <sheetView workbookViewId="0">
      <selection activeCell="D12" sqref="D12"/>
    </sheetView>
  </sheetViews>
  <sheetFormatPr defaultRowHeight="14.5"/>
  <cols>
    <col min="1" max="1" width="41.6328125" customWidth="1"/>
    <col min="2" max="2" width="13.36328125" bestFit="1" customWidth="1"/>
    <col min="3" max="3" width="19.90625" customWidth="1"/>
    <col min="4" max="4" width="17.6328125" customWidth="1"/>
    <col min="5" max="5" width="16.90625" customWidth="1"/>
    <col min="7" max="7" width="13.36328125" customWidth="1"/>
    <col min="8" max="8" width="15.08984375" customWidth="1"/>
  </cols>
  <sheetData>
    <row r="1" spans="1:8" ht="58">
      <c r="A1" s="28" t="s">
        <v>652</v>
      </c>
      <c r="B1" s="28" t="s">
        <v>673</v>
      </c>
      <c r="C1" s="28" t="s">
        <v>668</v>
      </c>
      <c r="D1" s="28" t="s">
        <v>670</v>
      </c>
      <c r="E1" s="28" t="s">
        <v>669</v>
      </c>
      <c r="F1" s="28" t="s">
        <v>672</v>
      </c>
      <c r="G1" s="28" t="s">
        <v>671</v>
      </c>
      <c r="H1" s="28" t="s">
        <v>667</v>
      </c>
    </row>
    <row r="2" spans="1:8">
      <c r="A2" s="8" t="s">
        <v>656</v>
      </c>
      <c r="B2" t="s">
        <v>675</v>
      </c>
      <c r="C2" s="8">
        <v>0.22</v>
      </c>
      <c r="D2" s="29"/>
      <c r="E2" s="8">
        <v>0.81499999999999995</v>
      </c>
      <c r="F2" s="8"/>
      <c r="G2" s="8">
        <v>10.19</v>
      </c>
      <c r="H2" s="8">
        <v>8.3048499999999983</v>
      </c>
    </row>
    <row r="3" spans="1:8">
      <c r="A3" s="8" t="s">
        <v>655</v>
      </c>
      <c r="B3" s="8" t="s">
        <v>8</v>
      </c>
      <c r="C3" s="8">
        <v>0.13</v>
      </c>
      <c r="E3" s="8">
        <v>0.222</v>
      </c>
      <c r="F3" s="8"/>
      <c r="G3" s="8">
        <v>10.19</v>
      </c>
      <c r="H3" s="8">
        <v>2.2621799999999999</v>
      </c>
    </row>
    <row r="4" spans="1:8">
      <c r="A4" s="8" t="s">
        <v>689</v>
      </c>
      <c r="B4" s="8" t="s">
        <v>9</v>
      </c>
      <c r="H4" s="8">
        <v>15.88</v>
      </c>
    </row>
    <row r="5" spans="1:8">
      <c r="A5" s="8" t="s">
        <v>653</v>
      </c>
      <c r="B5" s="8" t="s">
        <v>674</v>
      </c>
      <c r="D5" s="8">
        <v>0.39500000000000002</v>
      </c>
      <c r="E5" s="4"/>
      <c r="F5" s="8">
        <v>8.1</v>
      </c>
      <c r="G5" s="8">
        <v>10.19</v>
      </c>
      <c r="H5" s="8">
        <v>3.1995</v>
      </c>
    </row>
    <row r="6" spans="1:8">
      <c r="A6" s="8" t="s">
        <v>655</v>
      </c>
      <c r="B6" s="8" t="s">
        <v>175</v>
      </c>
      <c r="C6" s="8">
        <v>0.13</v>
      </c>
      <c r="E6" s="8">
        <v>0.222</v>
      </c>
      <c r="F6" s="8"/>
      <c r="G6" s="8">
        <v>10.19</v>
      </c>
      <c r="H6" s="8">
        <v>2.2621799999999999</v>
      </c>
    </row>
  </sheetData>
  <sortState xmlns:xlrd2="http://schemas.microsoft.com/office/spreadsheetml/2017/richdata2" ref="A2:H6">
    <sortCondition ref="B2:B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8"/>
  <sheetViews>
    <sheetView tabSelected="1" workbookViewId="0">
      <selection activeCell="A56" sqref="A56"/>
    </sheetView>
  </sheetViews>
  <sheetFormatPr defaultColWidth="8.81640625" defaultRowHeight="14.5"/>
  <cols>
    <col min="1" max="13" width="32.1796875" customWidth="1"/>
  </cols>
  <sheetData>
    <row r="1" spans="1:3">
      <c r="A1" s="4" t="s">
        <v>716</v>
      </c>
      <c r="B1" s="4" t="s">
        <v>715</v>
      </c>
      <c r="C1" s="4" t="s">
        <v>729</v>
      </c>
    </row>
    <row r="2" spans="1:3">
      <c r="A2" s="28" t="s">
        <v>0</v>
      </c>
    </row>
    <row r="3" spans="1:3">
      <c r="A3" s="28" t="s">
        <v>1</v>
      </c>
    </row>
    <row r="4" spans="1:3">
      <c r="A4" s="28" t="s">
        <v>6</v>
      </c>
    </row>
    <row r="5" spans="1:3">
      <c r="A5" s="28" t="s">
        <v>174</v>
      </c>
    </row>
    <row r="6" spans="1:3">
      <c r="A6" s="28" t="s">
        <v>209</v>
      </c>
    </row>
    <row r="7" spans="1:3">
      <c r="A7" s="28" t="s">
        <v>220</v>
      </c>
    </row>
    <row r="8" spans="1:3">
      <c r="A8" s="28" t="s">
        <v>10</v>
      </c>
    </row>
    <row r="9" spans="1:3">
      <c r="A9" s="28" t="s">
        <v>34</v>
      </c>
      <c r="B9" t="s">
        <v>39</v>
      </c>
    </row>
    <row r="10" spans="1:3">
      <c r="A10" s="28" t="s">
        <v>35</v>
      </c>
      <c r="B10" t="s">
        <v>39</v>
      </c>
    </row>
    <row r="11" spans="1:3">
      <c r="A11" s="28" t="s">
        <v>40</v>
      </c>
    </row>
    <row r="12" spans="1:3">
      <c r="A12" s="28" t="s">
        <v>41</v>
      </c>
    </row>
    <row r="13" spans="1:3">
      <c r="A13" s="28" t="s">
        <v>442</v>
      </c>
      <c r="B13" t="s">
        <v>717</v>
      </c>
    </row>
    <row r="14" spans="1:3">
      <c r="A14" s="28" t="s">
        <v>518</v>
      </c>
    </row>
    <row r="15" spans="1:3">
      <c r="A15" s="28" t="s">
        <v>440</v>
      </c>
      <c r="B15" t="s">
        <v>38</v>
      </c>
    </row>
    <row r="16" spans="1:3">
      <c r="A16" s="28" t="s">
        <v>441</v>
      </c>
      <c r="B16" t="s">
        <v>38</v>
      </c>
    </row>
    <row r="17" spans="1:2">
      <c r="A17" s="28" t="s">
        <v>117</v>
      </c>
    </row>
    <row r="18" spans="1:2">
      <c r="A18" s="28" t="s">
        <v>118</v>
      </c>
    </row>
    <row r="19" spans="1:2" ht="16.5">
      <c r="A19" s="28" t="s">
        <v>349</v>
      </c>
      <c r="B19" t="s">
        <v>727</v>
      </c>
    </row>
    <row r="20" spans="1:2" ht="16.5">
      <c r="A20" s="28" t="s">
        <v>546</v>
      </c>
      <c r="B20" t="s">
        <v>727</v>
      </c>
    </row>
    <row r="21" spans="1:2" ht="16.5">
      <c r="A21" s="28" t="s">
        <v>169</v>
      </c>
      <c r="B21" t="s">
        <v>727</v>
      </c>
    </row>
    <row r="22" spans="1:2" ht="16.5">
      <c r="A22" s="28" t="s">
        <v>170</v>
      </c>
      <c r="B22" t="s">
        <v>727</v>
      </c>
    </row>
    <row r="23" spans="1:2">
      <c r="A23" s="28" t="s">
        <v>119</v>
      </c>
    </row>
    <row r="24" spans="1:2">
      <c r="A24" s="28" t="s">
        <v>120</v>
      </c>
    </row>
    <row r="25" spans="1:2">
      <c r="A25" s="28" t="s">
        <v>171</v>
      </c>
    </row>
    <row r="26" spans="1:2">
      <c r="A26" s="28" t="s">
        <v>544</v>
      </c>
    </row>
    <row r="27" spans="1:2" ht="16.5">
      <c r="A27" s="28" t="s">
        <v>350</v>
      </c>
      <c r="B27" t="s">
        <v>727</v>
      </c>
    </row>
    <row r="28" spans="1:2" ht="16.5">
      <c r="A28" s="28" t="s">
        <v>351</v>
      </c>
      <c r="B28" t="s">
        <v>728</v>
      </c>
    </row>
    <row r="29" spans="1:2" ht="16.5">
      <c r="A29" s="28" t="s">
        <v>355</v>
      </c>
      <c r="B29" t="s">
        <v>728</v>
      </c>
    </row>
    <row r="30" spans="1:2">
      <c r="A30" s="28" t="s">
        <v>352</v>
      </c>
    </row>
    <row r="31" spans="1:2">
      <c r="A31" s="28" t="s">
        <v>356</v>
      </c>
    </row>
    <row r="32" spans="1:2" ht="16.5">
      <c r="A32" s="28" t="s">
        <v>353</v>
      </c>
      <c r="B32" t="s">
        <v>727</v>
      </c>
    </row>
    <row r="33" spans="1:3" ht="16.5">
      <c r="A33" s="28" t="s">
        <v>357</v>
      </c>
      <c r="B33" t="s">
        <v>727</v>
      </c>
    </row>
    <row r="34" spans="1:3" ht="16.5">
      <c r="A34" s="28" t="s">
        <v>358</v>
      </c>
      <c r="B34" t="s">
        <v>727</v>
      </c>
    </row>
    <row r="35" spans="1:3" ht="16.5">
      <c r="A35" s="28" t="s">
        <v>604</v>
      </c>
      <c r="B35" t="s">
        <v>727</v>
      </c>
    </row>
    <row r="36" spans="1:3" ht="16.5">
      <c r="A36" s="28" t="s">
        <v>605</v>
      </c>
      <c r="B36" t="s">
        <v>727</v>
      </c>
    </row>
    <row r="37" spans="1:3" ht="16.5">
      <c r="A37" s="28" t="s">
        <v>606</v>
      </c>
      <c r="B37" t="s">
        <v>727</v>
      </c>
    </row>
    <row r="38" spans="1:3" ht="16.5">
      <c r="A38" s="28" t="s">
        <v>607</v>
      </c>
      <c r="B38" t="s">
        <v>727</v>
      </c>
    </row>
    <row r="39" spans="1:3" ht="16.5">
      <c r="A39" s="28" t="s">
        <v>608</v>
      </c>
      <c r="B39" t="s">
        <v>727</v>
      </c>
    </row>
    <row r="40" spans="1:3" ht="16.5">
      <c r="A40" s="28" t="s">
        <v>609</v>
      </c>
      <c r="B40" t="s">
        <v>727</v>
      </c>
    </row>
    <row r="42" spans="1:3">
      <c r="A42" s="4" t="s">
        <v>730</v>
      </c>
      <c r="B42" s="4" t="s">
        <v>715</v>
      </c>
      <c r="C42" s="4" t="s">
        <v>729</v>
      </c>
    </row>
    <row r="43" spans="1:3">
      <c r="A43" s="28" t="s">
        <v>662</v>
      </c>
      <c r="B43" t="s">
        <v>665</v>
      </c>
    </row>
    <row r="44" spans="1:3">
      <c r="A44" s="28" t="s">
        <v>663</v>
      </c>
      <c r="B44" t="s">
        <v>654</v>
      </c>
    </row>
    <row r="45" spans="1:3" ht="17.5">
      <c r="A45" s="28" t="s">
        <v>661</v>
      </c>
      <c r="B45" t="s">
        <v>722</v>
      </c>
      <c r="C45" t="s">
        <v>657</v>
      </c>
    </row>
    <row r="46" spans="1:3" ht="17.5">
      <c r="A46" s="28" t="s">
        <v>660</v>
      </c>
      <c r="B46" t="s">
        <v>722</v>
      </c>
      <c r="C46" t="s">
        <v>657</v>
      </c>
    </row>
    <row r="47" spans="1:3" ht="17.5">
      <c r="A47" s="28" t="s">
        <v>666</v>
      </c>
      <c r="B47" t="s">
        <v>723</v>
      </c>
    </row>
    <row r="48" spans="1:3" ht="17.5">
      <c r="A48" s="2" t="s">
        <v>659</v>
      </c>
      <c r="B48" t="s">
        <v>724</v>
      </c>
    </row>
    <row r="49" spans="1:4" ht="16.5">
      <c r="A49" s="2" t="s">
        <v>782</v>
      </c>
      <c r="B49" t="s">
        <v>718</v>
      </c>
    </row>
    <row r="50" spans="1:4" ht="16.5">
      <c r="A50" s="2" t="s">
        <v>783</v>
      </c>
      <c r="B50" t="s">
        <v>719</v>
      </c>
    </row>
    <row r="51" spans="1:4" ht="17.5">
      <c r="A51" s="2" t="s">
        <v>697</v>
      </c>
      <c r="B51" t="s">
        <v>720</v>
      </c>
      <c r="C51" t="s">
        <v>695</v>
      </c>
    </row>
    <row r="52" spans="1:4" ht="17.5">
      <c r="A52" s="2" t="s">
        <v>699</v>
      </c>
      <c r="B52" t="s">
        <v>721</v>
      </c>
      <c r="C52" t="s">
        <v>701</v>
      </c>
    </row>
    <row r="53" spans="1:4">
      <c r="A53" s="2" t="s">
        <v>690</v>
      </c>
      <c r="B53" t="s">
        <v>658</v>
      </c>
      <c r="C53" s="8" t="s">
        <v>692</v>
      </c>
    </row>
    <row r="54" spans="1:4" ht="16.5">
      <c r="A54" s="2" t="s">
        <v>698</v>
      </c>
      <c r="B54" t="s">
        <v>726</v>
      </c>
    </row>
    <row r="55" spans="1:4" ht="16.5">
      <c r="A55" s="2" t="s">
        <v>700</v>
      </c>
      <c r="B55" t="s">
        <v>726</v>
      </c>
    </row>
    <row r="56" spans="1:4" ht="16.5">
      <c r="A56" s="2" t="s">
        <v>694</v>
      </c>
      <c r="B56" t="s">
        <v>725</v>
      </c>
      <c r="C56" t="s">
        <v>693</v>
      </c>
      <c r="D56" t="s">
        <v>696</v>
      </c>
    </row>
    <row r="57" spans="1:4" ht="16.5">
      <c r="A57" s="2" t="s">
        <v>691</v>
      </c>
      <c r="B57" t="s">
        <v>726</v>
      </c>
    </row>
    <row r="58" spans="1:4" ht="16.5">
      <c r="A58" s="28" t="s">
        <v>664</v>
      </c>
      <c r="B58" t="s">
        <v>726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Study Summary</vt:lpstr>
      <vt:lpstr>SequestrationRate_Total</vt:lpstr>
      <vt:lpstr>SequestrationRate_byDepth</vt:lpstr>
      <vt:lpstr>Calculation of HCC</vt:lpstr>
      <vt:lpstr>Mower Equipment EFs</vt:lpstr>
      <vt:lpstr>Units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Phillips</dc:creator>
  <cp:lastModifiedBy>claire.phillips</cp:lastModifiedBy>
  <cp:lastPrinted>2022-01-26T21:29:49Z</cp:lastPrinted>
  <dcterms:created xsi:type="dcterms:W3CDTF">2021-04-12T17:24:06Z</dcterms:created>
  <dcterms:modified xsi:type="dcterms:W3CDTF">2022-10-19T14:53:08Z</dcterms:modified>
</cp:coreProperties>
</file>