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Instructions" sheetId="11" r:id="rId1"/>
    <sheet name="Performance Assessment Tool" sheetId="16" r:id="rId2"/>
    <sheet name="Data A " sheetId="10" r:id="rId3"/>
    <sheet name="Data B" sheetId="4" r:id="rId4"/>
    <sheet name="Data C" sheetId="5" r:id="rId5"/>
    <sheet name="Data D" sheetId="8" r:id="rId6"/>
    <sheet name="Data E" sheetId="9" r:id="rId7"/>
    <sheet name="Data F" sheetId="12" r:id="rId8"/>
    <sheet name="Data G" sheetId="17" r:id="rId9"/>
  </sheets>
  <externalReferences>
    <externalReference r:id="rId10"/>
  </externalReferences>
  <definedNames>
    <definedName name="Basecase">'Data A '!$1:$1048576</definedName>
    <definedName name="Cities">'[1]Data Sheet A (General)'!$D$3:$D$17</definedName>
    <definedName name="_xlnm.Print_Area" localSheetId="1">'Performance Assessment Tool'!$A$1:$K$34</definedName>
  </definedNames>
  <calcPr calcId="152511"/>
</workbook>
</file>

<file path=xl/calcChain.xml><?xml version="1.0" encoding="utf-8"?>
<calcChain xmlns="http://schemas.openxmlformats.org/spreadsheetml/2006/main">
  <c r="C13" i="16" l="1"/>
  <c r="C12" i="16"/>
  <c r="C11" i="16"/>
  <c r="F11" i="16" s="1"/>
  <c r="C10" i="16"/>
  <c r="F10" i="16" s="1"/>
  <c r="C9" i="16"/>
  <c r="C8" i="16"/>
  <c r="D8" i="16"/>
  <c r="F8" i="16" l="1"/>
  <c r="C9" i="10"/>
  <c r="B6" i="16" s="1"/>
  <c r="G8" i="16" l="1"/>
  <c r="G11" i="16"/>
  <c r="G10" i="16"/>
  <c r="J10" i="16" s="1"/>
  <c r="C32" i="16"/>
  <c r="D13" i="16" s="1"/>
  <c r="F13" i="16" s="1"/>
  <c r="C31" i="16"/>
  <c r="G31" i="16" s="1"/>
  <c r="D12" i="16" s="1"/>
  <c r="F12" i="16" s="1"/>
  <c r="G12" i="16" s="1"/>
  <c r="G13" i="16" l="1"/>
  <c r="D20" i="5"/>
  <c r="C30" i="16" s="1"/>
  <c r="D9" i="16" s="1"/>
  <c r="F9" i="16" s="1"/>
  <c r="F22" i="16" s="1"/>
  <c r="D34" i="5"/>
  <c r="D35" i="5"/>
  <c r="D36" i="5"/>
  <c r="D37" i="5"/>
  <c r="D30" i="5"/>
  <c r="D31" i="5"/>
  <c r="D32" i="5"/>
  <c r="D33" i="5"/>
  <c r="D26" i="5"/>
  <c r="D27" i="5"/>
  <c r="D28" i="5"/>
  <c r="D29" i="5"/>
  <c r="F16" i="16" l="1"/>
  <c r="F24" i="16"/>
  <c r="G9" i="16"/>
  <c r="K9" i="16" s="1"/>
  <c r="K11" i="16"/>
  <c r="K12" i="16"/>
  <c r="K10" i="16"/>
  <c r="B16" i="16"/>
  <c r="K13" i="16"/>
  <c r="H6" i="16"/>
  <c r="J6" i="16"/>
  <c r="B17" i="16" s="1"/>
  <c r="F17" i="16" l="1"/>
  <c r="F18" i="16"/>
  <c r="F20" i="16"/>
  <c r="F23" i="16" s="1"/>
  <c r="H10" i="16"/>
  <c r="I10" i="16" s="1"/>
  <c r="H8" i="16"/>
  <c r="I8" i="16" s="1"/>
  <c r="K8" i="16"/>
  <c r="J8" i="16"/>
  <c r="J12" i="16"/>
  <c r="H12" i="16"/>
  <c r="I12" i="16" s="1"/>
  <c r="J11" i="16"/>
  <c r="H11" i="16"/>
  <c r="I11" i="16" s="1"/>
  <c r="H9" i="16"/>
  <c r="I9" i="16" s="1"/>
  <c r="J9" i="16"/>
  <c r="B18" i="16"/>
  <c r="J13" i="16"/>
  <c r="H13" i="16"/>
  <c r="I13" i="16" s="1"/>
  <c r="G5" i="5" l="1"/>
  <c r="G6" i="5"/>
  <c r="G7" i="5"/>
  <c r="G4" i="5"/>
  <c r="E7" i="9" l="1"/>
  <c r="F7" i="9"/>
  <c r="G7" i="9"/>
  <c r="D7" i="9"/>
  <c r="G8" i="8"/>
  <c r="H8" i="8"/>
  <c r="F8" i="8"/>
</calcChain>
</file>

<file path=xl/sharedStrings.xml><?xml version="1.0" encoding="utf-8"?>
<sst xmlns="http://schemas.openxmlformats.org/spreadsheetml/2006/main" count="203" uniqueCount="132">
  <si>
    <t>Natural Ventilation</t>
  </si>
  <si>
    <t>Nairobi, Kenya</t>
  </si>
  <si>
    <t>Lisbon, Portugal</t>
  </si>
  <si>
    <t>Abu Dhabi</t>
  </si>
  <si>
    <t>Aswan, Egypt</t>
  </si>
  <si>
    <t>BEMS Set Point Temperature for HVAC</t>
  </si>
  <si>
    <t>Percentage Reduction Based upon Set Point (%)</t>
  </si>
  <si>
    <t>Location</t>
  </si>
  <si>
    <t>Type of External Solar Shading</t>
  </si>
  <si>
    <t>Horizontal</t>
  </si>
  <si>
    <t>Vertical</t>
  </si>
  <si>
    <t>Angled</t>
  </si>
  <si>
    <t>Multi-Angled</t>
  </si>
  <si>
    <t>Annual Energy Reduction (%)</t>
  </si>
  <si>
    <t>Orientation</t>
  </si>
  <si>
    <t>East</t>
  </si>
  <si>
    <t>South</t>
  </si>
  <si>
    <t>West</t>
  </si>
  <si>
    <t>Window Orientation for External Solar Shading</t>
  </si>
  <si>
    <t>List</t>
  </si>
  <si>
    <t>Istanbul, Turkey</t>
  </si>
  <si>
    <t>Base Case Cooling (kWh/Annum)- Model B.1</t>
  </si>
  <si>
    <t>San Fransisco, Calafornia, USA</t>
  </si>
  <si>
    <t>Adelaide City, Australia</t>
  </si>
  <si>
    <t>Hyderabad, India</t>
  </si>
  <si>
    <t>Doha, Qatar</t>
  </si>
  <si>
    <t>Cape Town, South Africa</t>
  </si>
  <si>
    <t>Average Relative Humidity (%RH)</t>
  </si>
  <si>
    <t>Lisbon</t>
  </si>
  <si>
    <t>Portugal</t>
  </si>
  <si>
    <t>30%RH</t>
  </si>
  <si>
    <t>40%RH</t>
  </si>
  <si>
    <t>50%RH</t>
  </si>
  <si>
    <t>Average</t>
  </si>
  <si>
    <t>% Annual Cooling Energy Reduction</t>
  </si>
  <si>
    <t>Earth Duct Material</t>
  </si>
  <si>
    <t>Lightweight Concrete</t>
  </si>
  <si>
    <t>Medium Concrete</t>
  </si>
  <si>
    <t>Dry Clay</t>
  </si>
  <si>
    <t>Dry Clay (Saturated)</t>
  </si>
  <si>
    <t>Lisbin, Portugal</t>
  </si>
  <si>
    <t>Energy Cost/Annum (£)</t>
  </si>
  <si>
    <t>Base Case Mechanical Cooling Electrical Energy (kWh/Annum)</t>
  </si>
  <si>
    <t>Revised Mechanical Cooling Electrical Energy (kWhr/Annum)</t>
  </si>
  <si>
    <t>-</t>
  </si>
  <si>
    <t>Energy Cost Saving (£)</t>
  </si>
  <si>
    <t>Passive System Type</t>
  </si>
  <si>
    <t>External Solar Shading (SS)</t>
  </si>
  <si>
    <t>Rain Screen Façade (RSF)</t>
  </si>
  <si>
    <t>Passive Downdraught Evaporative Cooling (PDEC)</t>
  </si>
  <si>
    <t>Earth Duct (ED)</t>
  </si>
  <si>
    <t>All (East, South &amp; West)</t>
  </si>
  <si>
    <t>Combined (%)</t>
  </si>
  <si>
    <t>General</t>
  </si>
  <si>
    <t>Base Case Building Model B.1 Is used as a basis these results.</t>
  </si>
  <si>
    <t xml:space="preserve">Location/Climate </t>
  </si>
  <si>
    <t>Percentage Reduction Incorporating Passive Systems with HVAC (%)</t>
  </si>
  <si>
    <t>Total Annual Energy Reduction (kWh/Annum)</t>
  </si>
  <si>
    <r>
      <t>Total Carbon Dioxide Production (kgCO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/Annum)</t>
    </r>
  </si>
  <si>
    <t>Total Mechanical Cooling Energy Cost Per Annum</t>
  </si>
  <si>
    <t>Summary of Reduction</t>
  </si>
  <si>
    <t>Ventilated Double Façade (VDF)</t>
  </si>
  <si>
    <t xml:space="preserve">BaseCase </t>
  </si>
  <si>
    <t>Totals for All Passive Systems (Reductions)</t>
  </si>
  <si>
    <t>Limitations</t>
  </si>
  <si>
    <t>a)</t>
  </si>
  <si>
    <t>b)</t>
  </si>
  <si>
    <t>c)</t>
  </si>
  <si>
    <t>d)</t>
  </si>
  <si>
    <t>e)</t>
  </si>
  <si>
    <t>f)</t>
  </si>
  <si>
    <r>
      <t xml:space="preserve">Individual Instructions are given in </t>
    </r>
    <r>
      <rPr>
        <sz val="10"/>
        <color rgb="FFFF0000"/>
        <rFont val="Times New Roman"/>
        <family val="1"/>
      </rPr>
      <t>RED</t>
    </r>
    <r>
      <rPr>
        <sz val="10"/>
        <color theme="1"/>
        <rFont val="Times New Roman"/>
        <family val="1"/>
      </rPr>
      <t xml:space="preserve"> at specific points on the Performance Assessment Tool Sheet.</t>
    </r>
  </si>
  <si>
    <t>BEMS Set points are calculated from Chapter 5 using Abu Dhabi Climate data. There will be a margin of error of +/-0-5% in reductions and user should refer to Chapter 6 for further details.</t>
  </si>
  <si>
    <t>Rain screen façade reductions apply when all building fabric (excluding windows, roof and doors) is provided.</t>
  </si>
  <si>
    <t>Ventilated double facades must be connected to all internal spaces in order to for approximate reduction.</t>
  </si>
  <si>
    <t>Approximate values are calculated and will have a margin of error of +/-0-5% when applying percentages to different hot climates. Where greater acuracy is required, calculation methods identified in Chapter 3 should be adopted.</t>
  </si>
  <si>
    <t>Use the control panels drop down menu's (Embedded in cell) to select specific parameters highlighted in Chapter 4 &amp; 5.</t>
  </si>
  <si>
    <t>Further worksheets are supporting data taken from Chapters 4 and 5. Data A is Basecase Mechanical cooling data from Model B simulations; Data B is Natural Ventilation Data; Data C is External Solar Shading Data; Data C is PDEC Data; Data E is Earth Duct Data.</t>
  </si>
  <si>
    <r>
      <t>Carbon Dioxide Production/Annum (kgCO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</t>
    </r>
  </si>
  <si>
    <r>
      <t>Natural Ventilation &amp; Cooling BEMS Internal Air Temperature Set Point (</t>
    </r>
    <r>
      <rPr>
        <vertAlign val="superscript"/>
        <sz val="10"/>
        <color theme="1"/>
        <rFont val="Times New Roman"/>
        <family val="1"/>
      </rPr>
      <t>o</t>
    </r>
    <r>
      <rPr>
        <sz val="10"/>
        <color theme="1"/>
        <rFont val="Times New Roman"/>
        <family val="1"/>
      </rPr>
      <t>C)</t>
    </r>
  </si>
  <si>
    <r>
      <t xml:space="preserve">Electricity Unit Cost (£) Per kWh </t>
    </r>
    <r>
      <rPr>
        <sz val="10"/>
        <color rgb="FFFF0000"/>
        <rFont val="Times New Roman"/>
        <family val="1"/>
      </rPr>
      <t>(Manual Input)</t>
    </r>
  </si>
  <si>
    <r>
      <t>Conversion for kgCO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/kWh </t>
    </r>
    <r>
      <rPr>
        <sz val="10"/>
        <color rgb="FFFF0000"/>
        <rFont val="Times New Roman"/>
        <family val="1"/>
      </rPr>
      <t>(Manual Input)</t>
    </r>
  </si>
  <si>
    <t>Result</t>
  </si>
  <si>
    <t>%RH</t>
  </si>
  <si>
    <t>All</t>
  </si>
  <si>
    <t>All Angled</t>
  </si>
  <si>
    <t>All Horizontal</t>
  </si>
  <si>
    <t>All Vertical</t>
  </si>
  <si>
    <t>All Multi-Angled</t>
  </si>
  <si>
    <t>Data Sets for Links &amp; Conversion (Hidden Row)</t>
  </si>
  <si>
    <r>
      <t xml:space="preserve">User Control Panel  </t>
    </r>
    <r>
      <rPr>
        <sz val="10"/>
        <color rgb="FFFF0000"/>
        <rFont val="Times New Roman"/>
        <family val="1"/>
      </rPr>
      <t>(Select Values from In Cell Drop Down)</t>
    </r>
  </si>
  <si>
    <t>For External Solar Shading, All mean East, South and West Elevations</t>
  </si>
  <si>
    <t>This performance assessment tool has been created to enable simultanious assessment of passive ventilation and cooling systems when reducing HVAC energy per annum.</t>
  </si>
  <si>
    <t>This tool does not allow for fabric anaylsis, heat gain or heat loss analysis.</t>
  </si>
  <si>
    <t>BREEAM Credits for Ene 4</t>
  </si>
  <si>
    <t>Credits Available</t>
  </si>
  <si>
    <t>Percentage Reduction in energy Made</t>
  </si>
  <si>
    <t>Yes</t>
  </si>
  <si>
    <t>No</t>
  </si>
  <si>
    <t>Free Cooling</t>
  </si>
  <si>
    <t>% reduction in regulated CO2 emissions</t>
  </si>
  <si>
    <t>BREEAM Credit are on the basis that a feasibility study has been completed (Excluding Life Cycle Assessment). Furthermore, exemplary level is ignored in this calculation (Reductions&gt;30%)</t>
  </si>
  <si>
    <t>Total Percentage Reduction Per Annum (%)</t>
  </si>
  <si>
    <r>
      <t xml:space="preserve">System Active (Yes/No)                            </t>
    </r>
    <r>
      <rPr>
        <b/>
        <i/>
        <sz val="10"/>
        <color rgb="FFFF0000"/>
        <rFont val="Times New Roman"/>
        <family val="1"/>
      </rPr>
      <t>Select from Drop Down Menu in Cell</t>
    </r>
  </si>
  <si>
    <r>
      <t>BREEAM Credits Available (Based Upon 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Reductions)</t>
    </r>
  </si>
  <si>
    <t>Defined By User</t>
  </si>
  <si>
    <r>
      <t xml:space="preserve">User Defined Basecase Annual Cooling Energy (kWh/Annum) </t>
    </r>
    <r>
      <rPr>
        <sz val="10"/>
        <color rgb="FFFF0000"/>
        <rFont val="Times New Roman"/>
        <family val="1"/>
      </rPr>
      <t>(Manual Input); If Required</t>
    </r>
  </si>
  <si>
    <t>This performance assessment tool is intended to be used at RIBA Stage 2 (Concept Design).</t>
  </si>
  <si>
    <t>Select Location/User Defined From In Cell Drop Down Menu Below (A6)</t>
  </si>
  <si>
    <t>Natural Ventilation for Cooling (NV)</t>
  </si>
  <si>
    <t>For data B, C, D &amp; E; averages are taken from calculated annual cooling energy reduction results detailed in Chapter 5.</t>
  </si>
  <si>
    <t>Revised Annual Energy Consumption (kWh/Annum) at BEMS Set Point 24 Degrees Celcius</t>
  </si>
  <si>
    <t>Revised Annual Energy Consumption (kWh/Annum) at BEMS Set Point 25 Degrees Celcius</t>
  </si>
  <si>
    <t>Revised Annual Energy Consumption (kWh/Annum) at BEMS Set Point 26 Degrees Celcius</t>
  </si>
  <si>
    <t>Revised Annual Energy Consumption (kWh/Annum) at BEMS Set Point 27 Degrees Celcius</t>
  </si>
  <si>
    <t>Revised Annual Energy Consumption (kWh/Annum) at BEMS Set Point 28 Degrees Celcius</t>
  </si>
  <si>
    <r>
      <t>Mechanical Cooling Electricity Cost (m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/Annum)</t>
    </r>
  </si>
  <si>
    <t>The percentages used for annual energy reductions are calculated for each passive system in Chapters 4 &amp; 5.</t>
  </si>
  <si>
    <t>Passive System Energy Assessment Tool (PSEAT)</t>
  </si>
  <si>
    <r>
      <t xml:space="preserve"> Mechanical Cooling Energy Reduction (kWh/m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/Annum)</t>
    </r>
  </si>
  <si>
    <r>
      <t>Benchmark Value for Mechanical Cooling Energy (kWh/m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/Annum) (Table 3.2, Chapter 3)</t>
    </r>
  </si>
  <si>
    <r>
      <t>Calculated Value for Mechanical Cooling Energy Reduction (kWh/m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/Annum)</t>
    </r>
  </si>
  <si>
    <t>Data A- Alternative Climate Base case Mechanical Cooling Energy Data</t>
  </si>
  <si>
    <t>Date B- Natural Ventilation Set Point Percentage Reduction Data</t>
  </si>
  <si>
    <t>Data C- External Solar Shading Percentage Reduction Data</t>
  </si>
  <si>
    <t>Data D – PDEC Percentage Reduction Data</t>
  </si>
  <si>
    <t>Data E – Earth Duct Percentage Reduction Data</t>
  </si>
  <si>
    <t>Data F- Mechanical Cooling Outputs- Natural Ventilation Impacts for Various Climates</t>
  </si>
  <si>
    <t>Data G- BREEAM Credit Data for Energy 4 Credits (Ene 4)</t>
  </si>
  <si>
    <t>Natural ventilation reductions are based upon combined ventilation and cooling energy values.</t>
  </si>
  <si>
    <t>Conversion for kgCO2/kWh can be changed in cell to enable user to update per country.</t>
  </si>
  <si>
    <t>For details on Theoretical Building Model B.1 refer to section 3.3.10, Chapter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</si>
</sst>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7"/>
      <name val="Times New Roman"/>
      <family val="1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medium">
        <color auto="1"/>
      </right>
      <top style="dotted">
        <color auto="1"/>
      </top>
      <bottom style="dashDotDot">
        <color auto="1"/>
      </bottom>
      <diagonal/>
    </border>
    <border>
      <left style="dashDotDot">
        <color auto="1"/>
      </left>
      <right style="medium">
        <color auto="1"/>
      </right>
      <top style="dashDotDot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5" borderId="7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top" wrapText="1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4" fontId="1" fillId="4" borderId="6" xfId="0" applyNumberFormat="1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0" fillId="0" borderId="0" xfId="0" applyFont="1" applyFill="1"/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1" fillId="0" borderId="0" xfId="0" applyFont="1" applyFill="1"/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1" fillId="7" borderId="0" xfId="0" applyFont="1" applyFill="1" applyAlignment="1">
      <alignment vertical="center"/>
    </xf>
    <xf numFmtId="4" fontId="15" fillId="7" borderId="9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10" borderId="11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top"/>
    </xf>
    <xf numFmtId="0" fontId="1" fillId="9" borderId="13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2" fillId="6" borderId="16" xfId="0" applyFont="1" applyFill="1" applyBorder="1" applyAlignment="1">
      <alignment horizontal="center"/>
    </xf>
    <xf numFmtId="4" fontId="2" fillId="6" borderId="6" xfId="0" applyNumberFormat="1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15" fillId="8" borderId="17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top"/>
      <protection locked="0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1" fillId="11" borderId="0" xfId="0" applyFont="1" applyFill="1" applyAlignment="1">
      <alignment vertical="center"/>
    </xf>
    <xf numFmtId="4" fontId="15" fillId="11" borderId="17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4" fontId="15" fillId="12" borderId="9" xfId="0" applyNumberFormat="1" applyFont="1" applyFill="1" applyBorder="1" applyAlignment="1">
      <alignment horizontal="center" vertical="center"/>
    </xf>
    <xf numFmtId="4" fontId="1" fillId="10" borderId="11" xfId="0" applyNumberFormat="1" applyFont="1" applyFill="1" applyBorder="1" applyAlignment="1">
      <alignment horizontal="center" vertical="top"/>
    </xf>
    <xf numFmtId="0" fontId="1" fillId="12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4" fontId="17" fillId="13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" fontId="1" fillId="0" borderId="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7" borderId="14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 vertical="center"/>
    </xf>
    <xf numFmtId="0" fontId="2" fillId="12" borderId="14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7"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  <dxf>
      <font>
        <color theme="7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sed%20Chapters-%20Final%20Draft/Chapter%206-%20Design%20Guidance%20&amp;%20Stategies%20for%20Combined%20Passive%20System%20Application/Calculations/Passive%20Design%20Tool%20Workbook%20-%20Draf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nvironment Design Guidelines"/>
      <sheetName val="Passive System Results &amp; Analys"/>
      <sheetName val="Cht1-Mech Vent. Energy Red"/>
      <sheetName val="Cht2- Indiv Passive System Cool"/>
      <sheetName val="Cht3- Combined Pass. Sys Coolin"/>
      <sheetName val="Cht4- Combined Pass. Sys Co %"/>
      <sheetName val="Building Model Parameters"/>
      <sheetName val="Target U Values"/>
      <sheetName val="Heat Loss (Fabric)"/>
      <sheetName val="Heat Loss (Vent.)"/>
      <sheetName val="Heat Gain"/>
      <sheetName val="Ventilation"/>
      <sheetName val="Air Humidification"/>
      <sheetName val="Mechanical Cooling Selection"/>
      <sheetName val="Natural Ventilation (1)"/>
      <sheetName val="Solar Chimney (2)"/>
      <sheetName val="Solar Shading (3)"/>
      <sheetName val="Double Ventilated Facade (4)"/>
      <sheetName val="Rain Screen Facade (5)"/>
      <sheetName val="PDEC (6)"/>
      <sheetName val="Earth Duct (7)"/>
      <sheetName val="Building Performance Analysis"/>
      <sheetName val="Data Sheet A (General)"/>
      <sheetName val="Data Sheet B (Weather)"/>
      <sheetName val="Referenc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D3" t="str">
            <v>Adelaide, Australia</v>
          </cell>
        </row>
        <row r="4">
          <cell r="D4" t="str">
            <v>Aswan, Egypt</v>
          </cell>
        </row>
        <row r="5">
          <cell r="D5" t="str">
            <v>Brisbane, Australia</v>
          </cell>
        </row>
        <row r="6">
          <cell r="D6" t="str">
            <v>Bangalore, India</v>
          </cell>
        </row>
        <row r="7">
          <cell r="D7" t="str">
            <v>Beijing, China</v>
          </cell>
        </row>
        <row r="8">
          <cell r="D8" t="str">
            <v>Camberra, Austrailia</v>
          </cell>
        </row>
        <row r="9">
          <cell r="D9" t="str">
            <v>Larnika Airport, Cyprus</v>
          </cell>
        </row>
        <row r="10">
          <cell r="D10" t="str">
            <v>Las Vegas, Nevarda</v>
          </cell>
        </row>
        <row r="11">
          <cell r="D11" t="str">
            <v>London Heathrow, England</v>
          </cell>
        </row>
        <row r="12">
          <cell r="D12" t="str">
            <v>Madrid, Spain</v>
          </cell>
        </row>
        <row r="13">
          <cell r="D13" t="str">
            <v>Mexico</v>
          </cell>
        </row>
        <row r="14">
          <cell r="D14" t="str">
            <v>Moscow, Rus</v>
          </cell>
        </row>
        <row r="15">
          <cell r="D15" t="str">
            <v>Paris, France</v>
          </cell>
        </row>
        <row r="16">
          <cell r="D16" t="str">
            <v>Perth, Austrailia</v>
          </cell>
        </row>
        <row r="17">
          <cell r="D17" t="str">
            <v>Shanghi, China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H26"/>
  <sheetViews>
    <sheetView tabSelected="1" view="pageLayout" zoomScale="90" zoomScaleNormal="100" zoomScalePageLayoutView="90" workbookViewId="0">
      <selection activeCell="B1" sqref="B1"/>
    </sheetView>
  </sheetViews>
  <sheetFormatPr defaultColWidth="9.140625" defaultRowHeight="12.75" x14ac:dyDescent="0.2"/>
  <cols>
    <col min="1" max="1" width="4.5703125" style="12" customWidth="1"/>
    <col min="2" max="2" width="184.28515625" style="1" customWidth="1"/>
    <col min="3" max="16384" width="9.140625" style="1"/>
  </cols>
  <sheetData>
    <row r="2" spans="1:2" ht="18.75" x14ac:dyDescent="0.3">
      <c r="B2" s="60" t="s">
        <v>118</v>
      </c>
    </row>
    <row r="4" spans="1:2" x14ac:dyDescent="0.2">
      <c r="B4" s="11" t="s">
        <v>53</v>
      </c>
    </row>
    <row r="5" spans="1:2" x14ac:dyDescent="0.2">
      <c r="A5" s="12">
        <v>1</v>
      </c>
      <c r="B5" s="1" t="s">
        <v>92</v>
      </c>
    </row>
    <row r="6" spans="1:2" x14ac:dyDescent="0.2">
      <c r="A6" s="12">
        <v>2</v>
      </c>
      <c r="B6" s="1" t="s">
        <v>107</v>
      </c>
    </row>
    <row r="7" spans="1:2" x14ac:dyDescent="0.2">
      <c r="A7" s="12">
        <v>3</v>
      </c>
      <c r="B7" s="1" t="s">
        <v>75</v>
      </c>
    </row>
    <row r="8" spans="1:2" x14ac:dyDescent="0.2">
      <c r="A8" s="12">
        <v>4</v>
      </c>
      <c r="B8" s="1" t="s">
        <v>117</v>
      </c>
    </row>
    <row r="9" spans="1:2" x14ac:dyDescent="0.2">
      <c r="A9" s="12">
        <v>5</v>
      </c>
      <c r="B9" s="1" t="s">
        <v>54</v>
      </c>
    </row>
    <row r="10" spans="1:2" x14ac:dyDescent="0.2">
      <c r="A10" s="12">
        <v>6</v>
      </c>
      <c r="B10" s="1" t="s">
        <v>71</v>
      </c>
    </row>
    <row r="11" spans="1:2" x14ac:dyDescent="0.2">
      <c r="A11" s="37">
        <v>7</v>
      </c>
      <c r="B11" s="1" t="s">
        <v>76</v>
      </c>
    </row>
    <row r="12" spans="1:2" x14ac:dyDescent="0.2">
      <c r="A12" s="12">
        <v>8</v>
      </c>
      <c r="B12" s="1" t="s">
        <v>91</v>
      </c>
    </row>
    <row r="13" spans="1:2" x14ac:dyDescent="0.2">
      <c r="A13" s="80">
        <v>9</v>
      </c>
      <c r="B13" s="1" t="s">
        <v>101</v>
      </c>
    </row>
    <row r="14" spans="1:2" x14ac:dyDescent="0.2">
      <c r="A14" s="80">
        <v>10</v>
      </c>
      <c r="B14" s="1" t="s">
        <v>131</v>
      </c>
    </row>
    <row r="15" spans="1:2" x14ac:dyDescent="0.2">
      <c r="A15" s="85">
        <v>11</v>
      </c>
      <c r="B15" s="1" t="s">
        <v>129</v>
      </c>
    </row>
    <row r="16" spans="1:2" x14ac:dyDescent="0.2">
      <c r="A16" s="46">
        <v>12</v>
      </c>
      <c r="B16" s="1" t="s">
        <v>130</v>
      </c>
    </row>
    <row r="17" spans="1:8" x14ac:dyDescent="0.2">
      <c r="A17" s="85"/>
    </row>
    <row r="18" spans="1:8" x14ac:dyDescent="0.2">
      <c r="B18" s="11" t="s">
        <v>64</v>
      </c>
    </row>
    <row r="19" spans="1:8" x14ac:dyDescent="0.2">
      <c r="A19" s="12" t="s">
        <v>65</v>
      </c>
      <c r="B19" s="1" t="s">
        <v>72</v>
      </c>
      <c r="C19" s="2"/>
      <c r="D19" s="2"/>
      <c r="E19" s="2"/>
      <c r="F19" s="2"/>
      <c r="G19" s="2"/>
      <c r="H19" s="2"/>
    </row>
    <row r="20" spans="1:8" x14ac:dyDescent="0.2">
      <c r="A20" s="12" t="s">
        <v>66</v>
      </c>
      <c r="B20" s="18" t="s">
        <v>74</v>
      </c>
    </row>
    <row r="21" spans="1:8" x14ac:dyDescent="0.2">
      <c r="A21" s="12" t="s">
        <v>67</v>
      </c>
      <c r="B21" s="1" t="s">
        <v>73</v>
      </c>
    </row>
    <row r="22" spans="1:8" ht="25.5" customHeight="1" x14ac:dyDescent="0.2">
      <c r="A22" s="19" t="s">
        <v>68</v>
      </c>
      <c r="B22" s="17" t="s">
        <v>77</v>
      </c>
    </row>
    <row r="23" spans="1:8" x14ac:dyDescent="0.2">
      <c r="A23" s="12" t="s">
        <v>69</v>
      </c>
      <c r="B23" s="1" t="s">
        <v>110</v>
      </c>
    </row>
    <row r="24" spans="1:8" x14ac:dyDescent="0.2">
      <c r="A24" s="12" t="s">
        <v>70</v>
      </c>
      <c r="B24" s="1" t="s">
        <v>93</v>
      </c>
    </row>
    <row r="26" spans="1:8" x14ac:dyDescent="0.2">
      <c r="B26" s="11"/>
    </row>
  </sheetData>
  <pageMargins left="0.7" right="0.7" top="0.75" bottom="0.75" header="0.3" footer="0.3"/>
  <pageSetup paperSize="8" orientation="landscape" horizontalDpi="4294967293" verticalDpi="4294967293" r:id="rId1"/>
  <headerFooter>
    <oddHeader>&amp;L&amp;"Times New Roman,Regular"&amp;10Passive System Energy Impact Assessment Tool Rev. A&amp;C&amp;"Times New Roman,Bold"&amp;14INSTRUCTIONS</oddHeader>
    <oddFooter>&amp;L&amp;"Times New Roman,Regular"© J.P.Brittle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4:M34"/>
  <sheetViews>
    <sheetView view="pageLayout" topLeftCell="A5" zoomScale="85" zoomScaleNormal="100" zoomScalePageLayoutView="85" workbookViewId="0">
      <selection activeCell="G27" sqref="G27"/>
    </sheetView>
  </sheetViews>
  <sheetFormatPr defaultColWidth="8.85546875" defaultRowHeight="11.25" x14ac:dyDescent="0.2"/>
  <cols>
    <col min="1" max="1" width="48" style="22" customWidth="1"/>
    <col min="2" max="2" width="31.140625" style="22" customWidth="1"/>
    <col min="3" max="5" width="30.7109375" style="22" hidden="1" customWidth="1"/>
    <col min="6" max="6" width="22.7109375" style="22" customWidth="1"/>
    <col min="7" max="7" width="22.140625" style="22" customWidth="1"/>
    <col min="8" max="8" width="15" style="22" customWidth="1"/>
    <col min="9" max="9" width="12.28515625" style="22" customWidth="1"/>
    <col min="10" max="10" width="18.28515625" style="22" customWidth="1"/>
    <col min="11" max="11" width="21.140625" style="22" customWidth="1"/>
    <col min="12" max="12" width="12.140625" style="22" customWidth="1"/>
    <col min="13" max="13" width="21.28515625" style="22" customWidth="1"/>
    <col min="14" max="16384" width="8.85546875" style="22"/>
  </cols>
  <sheetData>
    <row r="4" spans="1:13" ht="61.15" customHeight="1" thickBot="1" x14ac:dyDescent="0.25">
      <c r="A4" s="23" t="s">
        <v>55</v>
      </c>
      <c r="B4" s="23" t="s">
        <v>42</v>
      </c>
      <c r="C4" s="23"/>
      <c r="D4" s="23"/>
      <c r="E4" s="23"/>
      <c r="F4" s="23" t="s">
        <v>56</v>
      </c>
      <c r="G4" s="23" t="s">
        <v>43</v>
      </c>
      <c r="H4" s="23" t="s">
        <v>41</v>
      </c>
      <c r="I4" s="23" t="s">
        <v>45</v>
      </c>
      <c r="J4" s="23" t="s">
        <v>78</v>
      </c>
      <c r="K4" s="23" t="s">
        <v>119</v>
      </c>
    </row>
    <row r="5" spans="1:13" ht="14.25" thickTop="1" thickBot="1" x14ac:dyDescent="0.25">
      <c r="A5" s="88" t="s">
        <v>108</v>
      </c>
      <c r="B5" s="88"/>
      <c r="C5" s="24"/>
      <c r="D5" s="24"/>
      <c r="E5" s="24"/>
      <c r="F5" s="24"/>
      <c r="H5" s="24"/>
      <c r="I5" s="24"/>
      <c r="J5" s="24"/>
      <c r="K5" s="24"/>
    </row>
    <row r="6" spans="1:13" ht="13.5" thickBot="1" x14ac:dyDescent="0.25">
      <c r="A6" s="61" t="s">
        <v>105</v>
      </c>
      <c r="B6" s="62">
        <f>VLOOKUP(A6,'Data A '!B5:C15,2,'Data A '!C5:C15)</f>
        <v>25000</v>
      </c>
      <c r="C6" s="4"/>
      <c r="D6" s="4"/>
      <c r="E6" s="4"/>
      <c r="F6" s="4" t="s">
        <v>44</v>
      </c>
      <c r="G6" s="4" t="s">
        <v>44</v>
      </c>
      <c r="H6" s="63">
        <f>SUM(B6*$B$33)</f>
        <v>2750</v>
      </c>
      <c r="I6" s="25" t="s">
        <v>44</v>
      </c>
      <c r="J6" s="62">
        <f>SUM(B34*$B$6)</f>
        <v>14249.999999999998</v>
      </c>
      <c r="K6" s="25" t="s">
        <v>44</v>
      </c>
    </row>
    <row r="7" spans="1:13" ht="29.25" customHeight="1" x14ac:dyDescent="0.2">
      <c r="A7" s="69" t="s">
        <v>46</v>
      </c>
      <c r="B7" s="68" t="s">
        <v>103</v>
      </c>
      <c r="C7" s="66"/>
      <c r="D7" s="66"/>
      <c r="E7" s="66"/>
      <c r="F7" s="87"/>
      <c r="G7" s="87"/>
      <c r="H7" s="87"/>
      <c r="I7" s="87"/>
      <c r="J7" s="87"/>
      <c r="K7" s="87"/>
      <c r="L7" s="67"/>
      <c r="M7" s="67"/>
    </row>
    <row r="8" spans="1:13" ht="12.75" x14ac:dyDescent="0.2">
      <c r="A8" s="26" t="s">
        <v>109</v>
      </c>
      <c r="B8" s="27" t="s">
        <v>97</v>
      </c>
      <c r="C8" s="27">
        <f>VLOOKUP(B8,$D$30:$E$31,2,FALSE)</f>
        <v>1</v>
      </c>
      <c r="D8" s="27">
        <f>VLOOKUP(B28,'Data B'!C6:D10,2,'Data B'!D6:D10)</f>
        <v>27.99</v>
      </c>
      <c r="E8" s="27"/>
      <c r="F8" s="82">
        <f>C8*D8</f>
        <v>27.99</v>
      </c>
      <c r="G8" s="27">
        <f>SUM(B6-((F8/100)*B6))</f>
        <v>18002.5</v>
      </c>
      <c r="H8" s="28">
        <f>SUM($B$33*$G$8)</f>
        <v>1980.2750000000001</v>
      </c>
      <c r="I8" s="28">
        <f t="shared" ref="I8:I13" si="0">SUM($H$6-H8)</f>
        <v>769.72499999999991</v>
      </c>
      <c r="J8" s="52">
        <f t="shared" ref="J8:J13" si="1">SUM(G8*$B$34)</f>
        <v>10261.424999999999</v>
      </c>
      <c r="K8" s="27">
        <f>SUM(G8/(20*10))</f>
        <v>90.012500000000003</v>
      </c>
      <c r="L8" s="53"/>
      <c r="M8" s="53"/>
    </row>
    <row r="9" spans="1:13" ht="12.75" x14ac:dyDescent="0.2">
      <c r="A9" s="29" t="s">
        <v>47</v>
      </c>
      <c r="B9" s="30" t="s">
        <v>97</v>
      </c>
      <c r="C9" s="27">
        <f t="shared" ref="C9:C13" si="2">VLOOKUP(B9,$D$30:$E$31,2,FALSE)</f>
        <v>1</v>
      </c>
      <c r="D9" s="30">
        <f>SUM(C30)</f>
        <v>3.1</v>
      </c>
      <c r="E9" s="30"/>
      <c r="F9" s="13">
        <f t="shared" ref="F9:F13" si="3">C9*D9</f>
        <v>3.1</v>
      </c>
      <c r="G9" s="30">
        <f>SUM(B6-((F9/100)*B6))</f>
        <v>24225</v>
      </c>
      <c r="H9" s="43">
        <f>SUM($B$33*$G$9)</f>
        <v>2664.75</v>
      </c>
      <c r="I9" s="43">
        <f t="shared" si="0"/>
        <v>85.25</v>
      </c>
      <c r="J9" s="30">
        <f t="shared" si="1"/>
        <v>13808.249999999998</v>
      </c>
      <c r="K9" s="30">
        <f t="shared" ref="K9:K13" si="4">SUM(G9/(20*10))</f>
        <v>121.125</v>
      </c>
    </row>
    <row r="10" spans="1:13" ht="12.75" x14ac:dyDescent="0.2">
      <c r="A10" s="26" t="s">
        <v>61</v>
      </c>
      <c r="B10" s="27" t="s">
        <v>97</v>
      </c>
      <c r="C10" s="27">
        <f t="shared" si="2"/>
        <v>1</v>
      </c>
      <c r="D10" s="27">
        <v>2</v>
      </c>
      <c r="E10" s="27"/>
      <c r="F10" s="15">
        <f t="shared" si="3"/>
        <v>2</v>
      </c>
      <c r="G10" s="27">
        <f>SUM(B6-((F10/100)*B6))</f>
        <v>24500</v>
      </c>
      <c r="H10" s="28">
        <f>SUM($B$33*$G$10)</f>
        <v>2695</v>
      </c>
      <c r="I10" s="28">
        <f t="shared" si="0"/>
        <v>55</v>
      </c>
      <c r="J10" s="27">
        <f t="shared" si="1"/>
        <v>13964.999999999998</v>
      </c>
      <c r="K10" s="27">
        <f t="shared" si="4"/>
        <v>122.5</v>
      </c>
    </row>
    <row r="11" spans="1:13" ht="12.75" x14ac:dyDescent="0.2">
      <c r="A11" s="29" t="s">
        <v>48</v>
      </c>
      <c r="B11" s="30" t="s">
        <v>97</v>
      </c>
      <c r="C11" s="27">
        <f t="shared" si="2"/>
        <v>1</v>
      </c>
      <c r="D11" s="30">
        <v>6</v>
      </c>
      <c r="E11" s="30"/>
      <c r="F11" s="13">
        <f>SUM(C11*D11)</f>
        <v>6</v>
      </c>
      <c r="G11" s="30">
        <f>SUM(B6-((F11/100)*B6))</f>
        <v>23500</v>
      </c>
      <c r="H11" s="43">
        <f>SUM($B$33*$G$11)</f>
        <v>2585</v>
      </c>
      <c r="I11" s="43">
        <f t="shared" si="0"/>
        <v>165</v>
      </c>
      <c r="J11" s="30">
        <f t="shared" si="1"/>
        <v>13394.999999999998</v>
      </c>
      <c r="K11" s="30">
        <f t="shared" si="4"/>
        <v>117.5</v>
      </c>
    </row>
    <row r="12" spans="1:13" ht="14.25" customHeight="1" x14ac:dyDescent="0.2">
      <c r="A12" s="26" t="s">
        <v>49</v>
      </c>
      <c r="B12" s="27" t="s">
        <v>97</v>
      </c>
      <c r="C12" s="27">
        <f t="shared" si="2"/>
        <v>1</v>
      </c>
      <c r="D12" s="27">
        <f>SUM(G31)</f>
        <v>12.595000000000001</v>
      </c>
      <c r="E12" s="27"/>
      <c r="F12" s="15">
        <f t="shared" si="3"/>
        <v>12.595000000000001</v>
      </c>
      <c r="G12" s="27">
        <f>SUM(B6-((F12/100)*B6))</f>
        <v>21851.25</v>
      </c>
      <c r="H12" s="28">
        <f>SUM($B$33*$G$12)</f>
        <v>2403.6374999999998</v>
      </c>
      <c r="I12" s="28">
        <f t="shared" si="0"/>
        <v>346.36250000000018</v>
      </c>
      <c r="J12" s="27">
        <f t="shared" si="1"/>
        <v>12455.2125</v>
      </c>
      <c r="K12" s="27">
        <f t="shared" si="4"/>
        <v>109.25624999999999</v>
      </c>
    </row>
    <row r="13" spans="1:13" ht="12.75" x14ac:dyDescent="0.2">
      <c r="A13" s="29" t="s">
        <v>50</v>
      </c>
      <c r="B13" s="30" t="s">
        <v>97</v>
      </c>
      <c r="C13" s="27">
        <f t="shared" si="2"/>
        <v>1</v>
      </c>
      <c r="D13" s="30">
        <f>SUM(C32)</f>
        <v>12.535</v>
      </c>
      <c r="E13" s="30"/>
      <c r="F13" s="13">
        <f t="shared" si="3"/>
        <v>12.535</v>
      </c>
      <c r="G13" s="30">
        <f>SUM(B6-((F13/100)*B6))</f>
        <v>21866.25</v>
      </c>
      <c r="H13" s="43">
        <f>SUM($B$33*$G$13)</f>
        <v>2405.2874999999999</v>
      </c>
      <c r="I13" s="43">
        <f t="shared" si="0"/>
        <v>344.71250000000009</v>
      </c>
      <c r="J13" s="30">
        <f t="shared" si="1"/>
        <v>12463.762499999999</v>
      </c>
      <c r="K13" s="30">
        <f t="shared" si="4"/>
        <v>109.33125</v>
      </c>
    </row>
    <row r="14" spans="1:13" ht="12.75" x14ac:dyDescent="0.2">
      <c r="A14" s="1"/>
      <c r="B14" s="5"/>
      <c r="C14" s="7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7" x14ac:dyDescent="0.2">
      <c r="A15" s="31" t="s">
        <v>60</v>
      </c>
      <c r="B15" s="31" t="s">
        <v>62</v>
      </c>
      <c r="C15" s="31"/>
      <c r="D15" s="31"/>
      <c r="E15" s="31"/>
      <c r="F15" s="32" t="s">
        <v>63</v>
      </c>
      <c r="G15" s="17"/>
      <c r="L15" s="1"/>
      <c r="M15" s="1"/>
    </row>
    <row r="16" spans="1:13" ht="12.75" x14ac:dyDescent="0.2">
      <c r="A16" s="33" t="s">
        <v>57</v>
      </c>
      <c r="B16" s="33">
        <f>SUM(B6)</f>
        <v>25000</v>
      </c>
      <c r="C16" s="33"/>
      <c r="D16" s="33"/>
      <c r="E16" s="33"/>
      <c r="F16" s="33">
        <f>SUM(B6-((F8+F9+F10+F11+F12+F13)/100)*B6)</f>
        <v>8945</v>
      </c>
      <c r="G16" s="1"/>
      <c r="M16" s="1"/>
    </row>
    <row r="17" spans="1:13" ht="14.25" x14ac:dyDescent="0.25">
      <c r="A17" s="13" t="s">
        <v>58</v>
      </c>
      <c r="B17" s="14">
        <f>SUM(J6)</f>
        <v>14249.999999999998</v>
      </c>
      <c r="C17" s="14"/>
      <c r="D17" s="14"/>
      <c r="E17" s="14"/>
      <c r="F17" s="14">
        <f>SUM(F16*$B$34)</f>
        <v>5098.6499999999996</v>
      </c>
      <c r="G17" s="5"/>
      <c r="H17" s="1"/>
      <c r="I17" s="1"/>
      <c r="J17" s="1"/>
      <c r="K17" s="1"/>
    </row>
    <row r="18" spans="1:13" ht="12.75" x14ac:dyDescent="0.2">
      <c r="A18" s="15" t="s">
        <v>59</v>
      </c>
      <c r="B18" s="16">
        <f>SUM(H6)</f>
        <v>2750</v>
      </c>
      <c r="C18" s="16"/>
      <c r="D18" s="16"/>
      <c r="E18" s="16"/>
      <c r="F18" s="16">
        <f>SUM(F16*B33)</f>
        <v>983.95</v>
      </c>
      <c r="G18" s="20"/>
      <c r="H18" s="1"/>
      <c r="I18" s="1"/>
      <c r="J18" s="1"/>
      <c r="K18" s="1"/>
      <c r="L18" s="1"/>
      <c r="M18" s="1"/>
    </row>
    <row r="19" spans="1:13" ht="13.5" thickBot="1" x14ac:dyDescent="0.25">
      <c r="A19" s="50"/>
      <c r="B19" s="51"/>
      <c r="C19" s="51"/>
      <c r="D19" s="51"/>
      <c r="E19" s="51"/>
      <c r="F19" s="51"/>
      <c r="G19" s="37"/>
      <c r="H19" s="1"/>
      <c r="I19" s="1"/>
      <c r="J19" s="1"/>
      <c r="K19" s="1"/>
      <c r="L19" s="1"/>
      <c r="M19" s="1"/>
    </row>
    <row r="20" spans="1:13" ht="16.5" thickBot="1" x14ac:dyDescent="0.25">
      <c r="A20" s="91" t="s">
        <v>121</v>
      </c>
      <c r="B20" s="92"/>
      <c r="C20" s="54"/>
      <c r="D20" s="54"/>
      <c r="E20" s="54"/>
      <c r="F20" s="55">
        <f>SUM(F16/(20*10))</f>
        <v>44.725000000000001</v>
      </c>
      <c r="G20" s="46"/>
      <c r="H20" s="1"/>
      <c r="I20" s="1"/>
      <c r="J20" s="1"/>
      <c r="K20" s="1"/>
      <c r="L20" s="1"/>
      <c r="M20" s="1"/>
    </row>
    <row r="21" spans="1:13" ht="16.5" thickBot="1" x14ac:dyDescent="0.25">
      <c r="A21" s="93" t="s">
        <v>120</v>
      </c>
      <c r="B21" s="94"/>
      <c r="C21" s="56"/>
      <c r="D21" s="56"/>
      <c r="E21" s="56"/>
      <c r="F21" s="65">
        <v>156.6</v>
      </c>
      <c r="G21" s="1"/>
      <c r="H21" s="1"/>
      <c r="I21" s="1"/>
      <c r="J21" s="1"/>
      <c r="K21" s="1"/>
      <c r="L21" s="1"/>
      <c r="M21" s="1"/>
    </row>
    <row r="22" spans="1:13" ht="13.5" thickBot="1" x14ac:dyDescent="0.25">
      <c r="A22" s="97" t="s">
        <v>102</v>
      </c>
      <c r="B22" s="98"/>
      <c r="C22" s="72"/>
      <c r="D22" s="72"/>
      <c r="E22" s="72"/>
      <c r="F22" s="73">
        <f>SUM(F8:F13)</f>
        <v>64.22</v>
      </c>
      <c r="G22" s="1"/>
      <c r="H22" s="1"/>
      <c r="I22" s="1"/>
      <c r="J22" s="1"/>
      <c r="K22" s="1"/>
      <c r="L22" s="1"/>
      <c r="M22" s="1"/>
    </row>
    <row r="23" spans="1:13" ht="16.5" thickBot="1" x14ac:dyDescent="0.25">
      <c r="A23" s="97" t="s">
        <v>116</v>
      </c>
      <c r="B23" s="98"/>
      <c r="C23" s="72"/>
      <c r="D23" s="72"/>
      <c r="E23" s="72"/>
      <c r="F23" s="73">
        <f>SUM(F20*B33)</f>
        <v>4.9197500000000005</v>
      </c>
      <c r="G23" s="1"/>
      <c r="H23" s="1"/>
      <c r="I23" s="1"/>
      <c r="J23" s="1"/>
      <c r="K23" s="1"/>
      <c r="L23" s="1"/>
      <c r="M23" s="1"/>
    </row>
    <row r="24" spans="1:13" ht="15" thickBot="1" x14ac:dyDescent="0.25">
      <c r="A24" s="95" t="s">
        <v>104</v>
      </c>
      <c r="B24" s="96"/>
      <c r="C24" s="74"/>
      <c r="D24" s="77"/>
      <c r="E24" s="77"/>
      <c r="F24" s="75">
        <f>VLOOKUP(F22,'Data G'!C5:D8,2)</f>
        <v>4</v>
      </c>
      <c r="G24" s="1"/>
      <c r="H24" s="1"/>
      <c r="I24" s="1"/>
      <c r="J24" s="1"/>
      <c r="K24" s="1"/>
      <c r="L24" s="1"/>
      <c r="M24" s="1"/>
    </row>
    <row r="25" spans="1:13" ht="13.5" thickBot="1" x14ac:dyDescent="0.25">
      <c r="A25" s="1"/>
      <c r="B25" s="1"/>
      <c r="C25" s="1"/>
      <c r="D25" s="1"/>
      <c r="E25" s="1"/>
      <c r="F25" s="44"/>
      <c r="G25" s="1"/>
      <c r="H25" s="1"/>
      <c r="I25" s="1"/>
      <c r="J25" s="1"/>
      <c r="K25" s="1"/>
      <c r="L25" s="1"/>
      <c r="M25" s="1"/>
    </row>
    <row r="26" spans="1:13" ht="12.75" x14ac:dyDescent="0.2">
      <c r="A26" s="89" t="s">
        <v>90</v>
      </c>
      <c r="B26" s="90"/>
      <c r="C26" s="47"/>
      <c r="D26" s="47"/>
      <c r="E26" s="47"/>
      <c r="F26" s="44"/>
      <c r="G26" s="1"/>
      <c r="H26" s="1"/>
      <c r="I26" s="1"/>
      <c r="J26" s="1"/>
      <c r="K26" s="1"/>
      <c r="L26" s="1"/>
      <c r="M26" s="1"/>
    </row>
    <row r="27" spans="1:13" ht="25.5" x14ac:dyDescent="0.2">
      <c r="A27" s="34" t="s">
        <v>106</v>
      </c>
      <c r="B27" s="76">
        <v>25000</v>
      </c>
      <c r="C27" s="47"/>
      <c r="D27" s="47"/>
      <c r="E27" s="47"/>
      <c r="F27" s="44"/>
      <c r="G27" s="1"/>
      <c r="H27" s="1"/>
      <c r="I27" s="1"/>
      <c r="J27" s="1"/>
      <c r="K27" s="1"/>
      <c r="L27" s="1"/>
      <c r="M27" s="1"/>
    </row>
    <row r="28" spans="1:13" ht="28.5" x14ac:dyDescent="0.2">
      <c r="A28" s="34" t="s">
        <v>79</v>
      </c>
      <c r="B28" s="57">
        <v>28</v>
      </c>
      <c r="C28" s="49" t="s">
        <v>89</v>
      </c>
      <c r="D28" s="49"/>
      <c r="E28" s="49"/>
      <c r="F28" s="45"/>
      <c r="G28" s="1"/>
      <c r="H28" s="1"/>
      <c r="I28" s="1"/>
      <c r="J28" s="1"/>
      <c r="K28" s="1"/>
      <c r="L28" s="1"/>
      <c r="M28" s="1"/>
    </row>
    <row r="29" spans="1:13" ht="12.75" x14ac:dyDescent="0.2">
      <c r="A29" s="34" t="s">
        <v>18</v>
      </c>
      <c r="B29" s="57" t="s">
        <v>15</v>
      </c>
      <c r="C29" s="47"/>
      <c r="D29" s="47"/>
      <c r="E29" s="47"/>
      <c r="F29" s="45"/>
      <c r="G29" s="1"/>
      <c r="H29" s="1"/>
      <c r="I29" s="1"/>
      <c r="J29" s="1"/>
      <c r="K29" s="1"/>
      <c r="L29" s="1"/>
      <c r="M29" s="1"/>
    </row>
    <row r="30" spans="1:13" ht="12.75" x14ac:dyDescent="0.2">
      <c r="A30" s="34" t="s">
        <v>8</v>
      </c>
      <c r="B30" s="57" t="s">
        <v>11</v>
      </c>
      <c r="C30" s="42">
        <f>VLOOKUP('Data C'!D20,'Data C'!D22:E37,2,)</f>
        <v>3.1</v>
      </c>
      <c r="D30" s="78" t="s">
        <v>97</v>
      </c>
      <c r="E30" s="78">
        <v>1</v>
      </c>
      <c r="G30" s="38"/>
      <c r="H30" s="1"/>
      <c r="I30" s="1"/>
      <c r="J30" s="1"/>
      <c r="K30" s="1"/>
      <c r="L30" s="1"/>
      <c r="M30" s="1"/>
    </row>
    <row r="31" spans="1:13" ht="12.75" x14ac:dyDescent="0.2">
      <c r="A31" s="34" t="s">
        <v>27</v>
      </c>
      <c r="B31" s="57" t="s">
        <v>32</v>
      </c>
      <c r="C31" s="42">
        <f>VALUE(LEFT(B31,2))</f>
        <v>50</v>
      </c>
      <c r="D31" s="78" t="s">
        <v>98</v>
      </c>
      <c r="E31" s="78">
        <v>0</v>
      </c>
      <c r="G31" s="38">
        <f>VLOOKUP(C31,'Data D'!F12:G14,2)</f>
        <v>12.595000000000001</v>
      </c>
      <c r="H31" s="1"/>
      <c r="I31" s="1"/>
      <c r="J31" s="1"/>
      <c r="K31" s="1"/>
      <c r="L31" s="1"/>
      <c r="M31" s="1"/>
    </row>
    <row r="32" spans="1:13" ht="12.75" x14ac:dyDescent="0.2">
      <c r="A32" s="34" t="s">
        <v>35</v>
      </c>
      <c r="B32" s="57" t="s">
        <v>38</v>
      </c>
      <c r="C32" s="42">
        <f>VLOOKUP(B32,'Data E'!D11:E14,2)</f>
        <v>12.535</v>
      </c>
      <c r="D32" s="42"/>
      <c r="E32" s="42"/>
      <c r="G32" s="38"/>
      <c r="H32" s="1"/>
      <c r="I32" s="1"/>
      <c r="J32" s="1"/>
      <c r="K32" s="1"/>
      <c r="L32" s="1"/>
      <c r="M32" s="1"/>
    </row>
    <row r="33" spans="1:13" ht="12.75" x14ac:dyDescent="0.2">
      <c r="A33" s="35" t="s">
        <v>80</v>
      </c>
      <c r="B33" s="58">
        <v>0.11</v>
      </c>
      <c r="C33" s="48"/>
      <c r="D33" s="48"/>
      <c r="E33" s="48"/>
      <c r="F33" s="45"/>
      <c r="H33" s="1"/>
      <c r="I33" s="1"/>
      <c r="J33" s="1"/>
      <c r="K33" s="1"/>
      <c r="L33" s="1"/>
      <c r="M33" s="1"/>
    </row>
    <row r="34" spans="1:13" ht="15" thickBot="1" x14ac:dyDescent="0.25">
      <c r="A34" s="36" t="s">
        <v>81</v>
      </c>
      <c r="B34" s="59">
        <v>0.56999999999999995</v>
      </c>
      <c r="C34" s="48"/>
      <c r="D34" s="48"/>
      <c r="E34" s="48"/>
      <c r="F34" s="45"/>
      <c r="G34" s="1"/>
      <c r="H34" s="1"/>
      <c r="I34" s="1"/>
      <c r="J34" s="1"/>
      <c r="K34" s="1"/>
      <c r="L34" s="1"/>
      <c r="M34" s="1"/>
    </row>
  </sheetData>
  <dataConsolidate/>
  <mergeCells count="8">
    <mergeCell ref="F7:K7"/>
    <mergeCell ref="A5:B5"/>
    <mergeCell ref="A26:B26"/>
    <mergeCell ref="A20:B20"/>
    <mergeCell ref="A21:B21"/>
    <mergeCell ref="A24:B24"/>
    <mergeCell ref="A22:B22"/>
    <mergeCell ref="A23:B23"/>
  </mergeCells>
  <conditionalFormatting sqref="C8">
    <cfRule type="cellIs" dxfId="6" priority="12" operator="equal">
      <formula>0</formula>
    </cfRule>
  </conditionalFormatting>
  <conditionalFormatting sqref="F8:K8">
    <cfRule type="expression" dxfId="5" priority="6">
      <formula>$C$8&lt;1</formula>
    </cfRule>
  </conditionalFormatting>
  <conditionalFormatting sqref="F9:K9">
    <cfRule type="expression" dxfId="4" priority="5">
      <formula>$C$9&lt;1</formula>
    </cfRule>
  </conditionalFormatting>
  <conditionalFormatting sqref="F10:K10">
    <cfRule type="expression" dxfId="3" priority="4">
      <formula>$C$10&lt;1</formula>
    </cfRule>
  </conditionalFormatting>
  <conditionalFormatting sqref="F11:K11">
    <cfRule type="expression" dxfId="2" priority="3">
      <formula>$C$11&lt;1</formula>
    </cfRule>
  </conditionalFormatting>
  <conditionalFormatting sqref="F12:K12">
    <cfRule type="expression" dxfId="1" priority="2">
      <formula>$C$12&lt;1</formula>
    </cfRule>
  </conditionalFormatting>
  <conditionalFormatting sqref="F13:K13">
    <cfRule type="expression" dxfId="0" priority="1">
      <formula>$C$13&lt;1</formula>
    </cfRule>
  </conditionalFormatting>
  <pageMargins left="0.7" right="0.7" top="0.75" bottom="0.75" header="0.3" footer="0.3"/>
  <pageSetup paperSize="8" fitToWidth="0" orientation="landscape" r:id="rId1"/>
  <headerFooter>
    <oddHeader>&amp;L&amp;"Times New Roman,Regular"&amp;10Passive System Energy Assessment Tool (PSEAT) Rev. A</oddHeader>
    <oddFooter>&amp;L&amp;"Times New Roman,Regular"&amp;10© J.P.Brittle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between" id="{1CE41B8D-AEBA-4FC5-8E1F-58E81A8D7999}">
            <xm:f>$B$3</xm:f>
            <xm:f>'Data B'!$D$6</xm:f>
            <x14:dxf/>
          </x14:cfRule>
          <xm:sqref>A16</xm:sqref>
        </x14:conditionalFormatting>
        <x14:conditionalFormatting xmlns:xm="http://schemas.microsoft.com/office/excel/2006/main">
          <x14:cfRule type="cellIs" priority="28" operator="between" id="{C554CCA8-5E0F-4E78-8A8D-7059F5982C09}">
            <xm:f>$B$3</xm:f>
            <xm:f>'Data B'!$D$6</xm:f>
            <x14:dxf/>
          </x14:cfRule>
          <xm:sqref>B16:F16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D'!$F$7:$H$7</xm:f>
          </x14:formula1>
          <xm:sqref>B31</xm:sqref>
        </x14:dataValidation>
        <x14:dataValidation type="list" allowBlank="1" showInputMessage="1" showErrorMessage="1">
          <x14:formula1>
            <xm:f>'Data E'!$D$3:$G$3</xm:f>
          </x14:formula1>
          <xm:sqref>B32</xm:sqref>
        </x14:dataValidation>
        <x14:dataValidation type="list" allowBlank="1" showInputMessage="1" showErrorMessage="1">
          <x14:formula1>
            <xm:f>'Data B'!$C$6:$C$10</xm:f>
          </x14:formula1>
          <xm:sqref>B28</xm:sqref>
        </x14:dataValidation>
        <x14:dataValidation type="list" allowBlank="1" showInputMessage="1" showErrorMessage="1">
          <x14:formula1>
            <xm:f>'Data C'!$B$4:$B$7</xm:f>
          </x14:formula1>
          <xm:sqref>B30</xm:sqref>
        </x14:dataValidation>
        <x14:dataValidation type="list" allowBlank="1" showInputMessage="1" showErrorMessage="1">
          <x14:formula1>
            <xm:f>'Data C'!$A$4:$A$7</xm:f>
          </x14:formula1>
          <xm:sqref>B29</xm:sqref>
        </x14:dataValidation>
        <x14:dataValidation type="list" allowBlank="1" showInputMessage="1" showErrorMessage="1">
          <x14:formula1>
            <xm:f>'Data B'!$E$6:$E$7</xm:f>
          </x14:formula1>
          <xm:sqref>B8:B13</xm:sqref>
        </x14:dataValidation>
        <x14:dataValidation type="list" allowBlank="1" showInputMessage="1" showErrorMessage="1">
          <x14:formula1>
            <xm:f>'Data A '!$B$5:$B$15</xm:f>
          </x14:formula1>
          <xm:sqref>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C15"/>
  <sheetViews>
    <sheetView topLeftCell="A2" workbookViewId="0">
      <selection activeCell="E31" sqref="E31"/>
    </sheetView>
  </sheetViews>
  <sheetFormatPr defaultColWidth="9.140625" defaultRowHeight="12.75" x14ac:dyDescent="0.2"/>
  <cols>
    <col min="1" max="1" width="9.140625" style="1"/>
    <col min="2" max="2" width="29.85546875" style="1" customWidth="1"/>
    <col min="3" max="3" width="38.28515625" style="1" customWidth="1"/>
    <col min="4" max="16384" width="9.140625" style="1"/>
  </cols>
  <sheetData>
    <row r="2" spans="2:3" x14ac:dyDescent="0.2">
      <c r="B2" s="11" t="s">
        <v>122</v>
      </c>
    </row>
    <row r="4" spans="2:3" x14ac:dyDescent="0.2">
      <c r="B4" s="10" t="s">
        <v>7</v>
      </c>
      <c r="C4" s="10" t="s">
        <v>21</v>
      </c>
    </row>
    <row r="5" spans="2:3" x14ac:dyDescent="0.2">
      <c r="B5" s="2" t="s">
        <v>3</v>
      </c>
      <c r="C5" s="4">
        <v>43776.78</v>
      </c>
    </row>
    <row r="6" spans="2:3" x14ac:dyDescent="0.2">
      <c r="B6" s="2" t="s">
        <v>23</v>
      </c>
      <c r="C6" s="4">
        <v>24425.15</v>
      </c>
    </row>
    <row r="7" spans="2:3" x14ac:dyDescent="0.2">
      <c r="B7" s="2" t="s">
        <v>4</v>
      </c>
      <c r="C7" s="4">
        <v>46913.5</v>
      </c>
    </row>
    <row r="8" spans="2:3" x14ac:dyDescent="0.2">
      <c r="B8" s="2" t="s">
        <v>26</v>
      </c>
      <c r="C8" s="4">
        <v>21911.919999999998</v>
      </c>
    </row>
    <row r="9" spans="2:3" x14ac:dyDescent="0.2">
      <c r="B9" s="6" t="s">
        <v>105</v>
      </c>
      <c r="C9" s="4">
        <f>SUM('Performance Assessment Tool'!B27)</f>
        <v>25000</v>
      </c>
    </row>
    <row r="10" spans="2:3" x14ac:dyDescent="0.2">
      <c r="B10" s="2" t="s">
        <v>25</v>
      </c>
      <c r="C10" s="4">
        <v>43584.800000000003</v>
      </c>
    </row>
    <row r="11" spans="2:3" x14ac:dyDescent="0.2">
      <c r="B11" s="2" t="s">
        <v>24</v>
      </c>
      <c r="C11" s="4">
        <v>42441.51</v>
      </c>
    </row>
    <row r="12" spans="2:3" x14ac:dyDescent="0.2">
      <c r="B12" s="2" t="s">
        <v>20</v>
      </c>
      <c r="C12" s="4">
        <v>20692.95</v>
      </c>
    </row>
    <row r="13" spans="2:3" x14ac:dyDescent="0.2">
      <c r="B13" s="2" t="s">
        <v>2</v>
      </c>
      <c r="C13" s="4">
        <v>24371.64</v>
      </c>
    </row>
    <row r="14" spans="2:3" x14ac:dyDescent="0.2">
      <c r="B14" s="2" t="s">
        <v>1</v>
      </c>
      <c r="C14" s="4">
        <v>25901.279999999999</v>
      </c>
    </row>
    <row r="15" spans="2:3" x14ac:dyDescent="0.2">
      <c r="B15" s="2" t="s">
        <v>22</v>
      </c>
      <c r="C15" s="4">
        <v>20844.22</v>
      </c>
    </row>
  </sheetData>
  <sortState ref="B4:C13">
    <sortCondition ref="B4:B13"/>
  </sortState>
  <pageMargins left="0.7" right="0.7" top="0.75" bottom="0.75" header="0.3" footer="0.3"/>
  <pageSetup paperSize="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C1:M18"/>
  <sheetViews>
    <sheetView workbookViewId="0">
      <selection activeCell="D22" sqref="D22"/>
    </sheetView>
  </sheetViews>
  <sheetFormatPr defaultColWidth="9.140625" defaultRowHeight="12.75" x14ac:dyDescent="0.2"/>
  <cols>
    <col min="1" max="2" width="9.140625" style="1"/>
    <col min="3" max="3" width="34.7109375" style="1" customWidth="1"/>
    <col min="4" max="4" width="40" style="1" customWidth="1"/>
    <col min="5" max="5" width="22.140625" style="46" customWidth="1"/>
    <col min="6" max="6" width="22.140625" style="1" customWidth="1"/>
    <col min="7" max="8" width="24.28515625" style="1" customWidth="1"/>
    <col min="9" max="10" width="22.28515625" style="1" customWidth="1"/>
    <col min="11" max="12" width="38.5703125" style="1" customWidth="1"/>
    <col min="13" max="13" width="16.42578125" style="1" customWidth="1"/>
    <col min="14" max="16384" width="9.140625" style="1"/>
  </cols>
  <sheetData>
    <row r="1" spans="3:13" x14ac:dyDescent="0.2">
      <c r="C1" s="11" t="s">
        <v>123</v>
      </c>
      <c r="E1" s="83"/>
    </row>
    <row r="3" spans="3:13" x14ac:dyDescent="0.2">
      <c r="C3" s="1" t="s">
        <v>0</v>
      </c>
    </row>
    <row r="5" spans="3:13" x14ac:dyDescent="0.2">
      <c r="C5" s="1" t="s">
        <v>5</v>
      </c>
      <c r="D5" s="1" t="s">
        <v>6</v>
      </c>
      <c r="E5" s="46" t="s">
        <v>19</v>
      </c>
    </row>
    <row r="6" spans="3:13" x14ac:dyDescent="0.2">
      <c r="C6" s="2">
        <v>24</v>
      </c>
      <c r="D6" s="81">
        <v>11.34</v>
      </c>
      <c r="E6" s="46" t="s">
        <v>97</v>
      </c>
    </row>
    <row r="7" spans="3:13" x14ac:dyDescent="0.2">
      <c r="C7" s="2">
        <v>25</v>
      </c>
      <c r="D7" s="81">
        <v>16.03</v>
      </c>
      <c r="E7" s="46" t="s">
        <v>98</v>
      </c>
    </row>
    <row r="8" spans="3:13" x14ac:dyDescent="0.2">
      <c r="C8" s="2">
        <v>26</v>
      </c>
      <c r="D8" s="81">
        <v>20.309999999999999</v>
      </c>
    </row>
    <row r="9" spans="3:13" x14ac:dyDescent="0.2">
      <c r="C9" s="2">
        <v>27</v>
      </c>
      <c r="D9" s="81">
        <v>24.93</v>
      </c>
      <c r="F9" s="2"/>
      <c r="G9" s="2"/>
      <c r="H9" s="2"/>
      <c r="I9" s="2"/>
      <c r="J9" s="2"/>
      <c r="K9" s="2"/>
      <c r="L9" s="2"/>
      <c r="M9" s="2"/>
    </row>
    <row r="10" spans="3:13" x14ac:dyDescent="0.2">
      <c r="C10" s="2">
        <v>28</v>
      </c>
      <c r="D10" s="81">
        <v>27.99</v>
      </c>
    </row>
    <row r="13" spans="3:13" x14ac:dyDescent="0.2">
      <c r="C13" s="2"/>
      <c r="D13" s="2"/>
      <c r="F13" s="2"/>
      <c r="G13" s="2"/>
      <c r="H13" s="2"/>
      <c r="I13" s="2"/>
    </row>
    <row r="14" spans="3:13" x14ac:dyDescent="0.2">
      <c r="D14" s="86"/>
    </row>
    <row r="15" spans="3:13" x14ac:dyDescent="0.2">
      <c r="D15" s="86"/>
    </row>
    <row r="16" spans="3:13" x14ac:dyDescent="0.2">
      <c r="D16" s="86"/>
    </row>
    <row r="17" spans="4:4" x14ac:dyDescent="0.2">
      <c r="D17" s="86"/>
    </row>
    <row r="18" spans="4:4" x14ac:dyDescent="0.2">
      <c r="D18" s="86"/>
    </row>
  </sheetData>
  <pageMargins left="0.7" right="0.7" top="0.75" bottom="0.75" header="0.3" footer="0.3"/>
  <pageSetup paperSize="8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7"/>
  <sheetViews>
    <sheetView view="pageBreakPreview" zoomScale="60" zoomScaleNormal="70" workbookViewId="0">
      <selection activeCell="B17" sqref="B17"/>
    </sheetView>
  </sheetViews>
  <sheetFormatPr defaultColWidth="9.140625" defaultRowHeight="12.75" x14ac:dyDescent="0.2"/>
  <cols>
    <col min="1" max="1" width="22.7109375" style="1" customWidth="1"/>
    <col min="2" max="2" width="21.28515625" style="1" customWidth="1"/>
    <col min="3" max="3" width="12" style="1" customWidth="1"/>
    <col min="4" max="4" width="34.7109375" style="1" customWidth="1"/>
    <col min="5" max="5" width="25.85546875" style="2" customWidth="1"/>
    <col min="6" max="6" width="23.7109375" style="1" customWidth="1"/>
    <col min="7" max="7" width="12.42578125" style="1" customWidth="1"/>
    <col min="8" max="16384" width="9.140625" style="1"/>
  </cols>
  <sheetData>
    <row r="1" spans="1:10" x14ac:dyDescent="0.2">
      <c r="A1" s="11" t="s">
        <v>124</v>
      </c>
    </row>
    <row r="3" spans="1:10" x14ac:dyDescent="0.2">
      <c r="A3" s="2" t="s">
        <v>19</v>
      </c>
      <c r="B3" s="2" t="s">
        <v>19</v>
      </c>
      <c r="C3" s="2" t="s">
        <v>14</v>
      </c>
      <c r="D3" s="1" t="s">
        <v>8</v>
      </c>
      <c r="E3" s="2" t="s">
        <v>13</v>
      </c>
      <c r="F3" s="3" t="s">
        <v>51</v>
      </c>
      <c r="G3" s="3" t="s">
        <v>52</v>
      </c>
    </row>
    <row r="4" spans="1:10" x14ac:dyDescent="0.2">
      <c r="A4" s="21" t="s">
        <v>84</v>
      </c>
      <c r="B4" s="2" t="s">
        <v>9</v>
      </c>
      <c r="C4" s="2" t="s">
        <v>15</v>
      </c>
      <c r="D4" s="1" t="s">
        <v>9</v>
      </c>
      <c r="E4" s="2">
        <v>1.23</v>
      </c>
      <c r="F4" s="3" t="s">
        <v>9</v>
      </c>
      <c r="G4" s="3">
        <f>SUM(E4+E9+E14)</f>
        <v>4.55</v>
      </c>
    </row>
    <row r="5" spans="1:10" x14ac:dyDescent="0.2">
      <c r="A5" s="2" t="s">
        <v>15</v>
      </c>
      <c r="B5" s="2" t="s">
        <v>10</v>
      </c>
      <c r="C5" s="2" t="s">
        <v>15</v>
      </c>
      <c r="D5" s="1" t="s">
        <v>10</v>
      </c>
      <c r="E5" s="2">
        <v>2.04</v>
      </c>
      <c r="F5" s="3" t="s">
        <v>10</v>
      </c>
      <c r="G5" s="3">
        <f t="shared" ref="G5:G7" si="0">SUM(E5+E10+E15)</f>
        <v>7.2399999999999993</v>
      </c>
    </row>
    <row r="6" spans="1:10" x14ac:dyDescent="0.2">
      <c r="A6" s="2" t="s">
        <v>16</v>
      </c>
      <c r="B6" s="2" t="s">
        <v>11</v>
      </c>
      <c r="C6" s="2" t="s">
        <v>15</v>
      </c>
      <c r="D6" s="1" t="s">
        <v>11</v>
      </c>
      <c r="E6" s="2">
        <v>3.1</v>
      </c>
      <c r="F6" s="3" t="s">
        <v>11</v>
      </c>
      <c r="G6" s="3">
        <f t="shared" si="0"/>
        <v>9.91</v>
      </c>
    </row>
    <row r="7" spans="1:10" x14ac:dyDescent="0.2">
      <c r="A7" s="2" t="s">
        <v>17</v>
      </c>
      <c r="B7" s="2" t="s">
        <v>12</v>
      </c>
      <c r="C7" s="2" t="s">
        <v>15</v>
      </c>
      <c r="D7" s="1" t="s">
        <v>12</v>
      </c>
      <c r="E7" s="2">
        <v>11.27</v>
      </c>
      <c r="F7" s="3" t="s">
        <v>12</v>
      </c>
      <c r="G7" s="3">
        <f t="shared" si="0"/>
        <v>33.92</v>
      </c>
    </row>
    <row r="9" spans="1:10" x14ac:dyDescent="0.2">
      <c r="C9" s="2" t="s">
        <v>16</v>
      </c>
      <c r="D9" s="1" t="s">
        <v>9</v>
      </c>
      <c r="E9" s="2">
        <v>2.33</v>
      </c>
    </row>
    <row r="10" spans="1:10" x14ac:dyDescent="0.2">
      <c r="C10" s="2" t="s">
        <v>16</v>
      </c>
      <c r="D10" s="1" t="s">
        <v>10</v>
      </c>
      <c r="E10" s="2">
        <v>3.31</v>
      </c>
      <c r="F10" s="3"/>
    </row>
    <row r="11" spans="1:10" x14ac:dyDescent="0.2">
      <c r="C11" s="2" t="s">
        <v>16</v>
      </c>
      <c r="D11" s="1" t="s">
        <v>11</v>
      </c>
      <c r="E11" s="2">
        <v>4.1100000000000003</v>
      </c>
      <c r="F11" s="3"/>
    </row>
    <row r="12" spans="1:10" x14ac:dyDescent="0.2">
      <c r="C12" s="2" t="s">
        <v>16</v>
      </c>
      <c r="D12" s="1" t="s">
        <v>12</v>
      </c>
      <c r="E12" s="2">
        <v>12.31</v>
      </c>
      <c r="F12" s="3"/>
    </row>
    <row r="13" spans="1:10" x14ac:dyDescent="0.2">
      <c r="D13" s="2"/>
      <c r="F13" s="2"/>
      <c r="G13" s="2"/>
      <c r="H13" s="2"/>
      <c r="I13" s="2"/>
      <c r="J13" s="2"/>
    </row>
    <row r="14" spans="1:10" x14ac:dyDescent="0.2">
      <c r="C14" s="2" t="s">
        <v>17</v>
      </c>
      <c r="D14" s="1" t="s">
        <v>9</v>
      </c>
      <c r="E14" s="2">
        <v>0.99</v>
      </c>
    </row>
    <row r="15" spans="1:10" x14ac:dyDescent="0.2">
      <c r="C15" s="2" t="s">
        <v>17</v>
      </c>
      <c r="D15" s="1" t="s">
        <v>10</v>
      </c>
      <c r="E15" s="2">
        <v>1.89</v>
      </c>
      <c r="F15" s="3"/>
    </row>
    <row r="16" spans="1:10" x14ac:dyDescent="0.2">
      <c r="C16" s="2" t="s">
        <v>17</v>
      </c>
      <c r="D16" s="1" t="s">
        <v>11</v>
      </c>
      <c r="E16" s="2">
        <v>2.7</v>
      </c>
      <c r="F16" s="3"/>
    </row>
    <row r="17" spans="1:6" x14ac:dyDescent="0.2">
      <c r="C17" s="2" t="s">
        <v>17</v>
      </c>
      <c r="D17" s="1" t="s">
        <v>12</v>
      </c>
      <c r="E17" s="2">
        <v>10.34</v>
      </c>
      <c r="F17" s="3"/>
    </row>
    <row r="20" spans="1:6" x14ac:dyDescent="0.2">
      <c r="A20" s="2"/>
      <c r="C20" s="1" t="s">
        <v>82</v>
      </c>
      <c r="D20" s="1" t="str">
        <f>CONCATENATE('Performance Assessment Tool'!B29," ",'Performance Assessment Tool'!B30)</f>
        <v>East Angled</v>
      </c>
      <c r="F20" s="3"/>
    </row>
    <row r="21" spans="1:6" x14ac:dyDescent="0.2">
      <c r="A21" s="2"/>
      <c r="B21" s="2"/>
      <c r="F21" s="3"/>
    </row>
    <row r="22" spans="1:6" x14ac:dyDescent="0.2">
      <c r="A22" s="2"/>
      <c r="D22" s="18" t="s">
        <v>85</v>
      </c>
      <c r="E22" s="21">
        <v>9.91</v>
      </c>
    </row>
    <row r="23" spans="1:6" x14ac:dyDescent="0.2">
      <c r="D23" s="18" t="s">
        <v>86</v>
      </c>
      <c r="E23" s="21">
        <v>4.55</v>
      </c>
    </row>
    <row r="24" spans="1:6" x14ac:dyDescent="0.2">
      <c r="D24" s="18" t="s">
        <v>88</v>
      </c>
      <c r="E24" s="21">
        <v>33.92</v>
      </c>
    </row>
    <row r="25" spans="1:6" x14ac:dyDescent="0.2">
      <c r="D25" s="18" t="s">
        <v>87</v>
      </c>
      <c r="E25" s="21">
        <v>7.2399999999999993</v>
      </c>
    </row>
    <row r="26" spans="1:6" x14ac:dyDescent="0.2">
      <c r="D26" s="1" t="str">
        <f>CONCATENATE(C4," ",D4)</f>
        <v>East Horizontal</v>
      </c>
      <c r="E26" s="20">
        <v>1.23</v>
      </c>
    </row>
    <row r="27" spans="1:6" x14ac:dyDescent="0.2">
      <c r="D27" s="1" t="str">
        <f>CONCATENATE(C5," ",D5)</f>
        <v>East Vertical</v>
      </c>
      <c r="E27" s="20">
        <v>2.04</v>
      </c>
    </row>
    <row r="28" spans="1:6" x14ac:dyDescent="0.2">
      <c r="D28" s="1" t="str">
        <f>CONCATENATE(C6," ",D6)</f>
        <v>East Angled</v>
      </c>
      <c r="E28" s="20">
        <v>3.1</v>
      </c>
    </row>
    <row r="29" spans="1:6" x14ac:dyDescent="0.2">
      <c r="D29" s="1" t="str">
        <f>CONCATENATE(C7," ",D7)</f>
        <v>East Multi-Angled</v>
      </c>
      <c r="E29" s="20">
        <v>11.27</v>
      </c>
    </row>
    <row r="30" spans="1:6" x14ac:dyDescent="0.2">
      <c r="D30" s="1" t="str">
        <f>CONCATENATE(C9," ",D9)</f>
        <v>South Horizontal</v>
      </c>
      <c r="E30" s="20">
        <v>2.33</v>
      </c>
    </row>
    <row r="31" spans="1:6" x14ac:dyDescent="0.2">
      <c r="D31" s="1" t="str">
        <f>CONCATENATE(C10," ",D10)</f>
        <v>South Vertical</v>
      </c>
      <c r="E31" s="20">
        <v>3.31</v>
      </c>
    </row>
    <row r="32" spans="1:6" x14ac:dyDescent="0.2">
      <c r="D32" s="1" t="str">
        <f>CONCATENATE(C11," ",D11)</f>
        <v>South Angled</v>
      </c>
      <c r="E32" s="20">
        <v>4.1100000000000003</v>
      </c>
    </row>
    <row r="33" spans="4:5" x14ac:dyDescent="0.2">
      <c r="D33" s="1" t="str">
        <f>CONCATENATE(C12," ",D12)</f>
        <v>South Multi-Angled</v>
      </c>
      <c r="E33" s="20">
        <v>12.31</v>
      </c>
    </row>
    <row r="34" spans="4:5" x14ac:dyDescent="0.2">
      <c r="D34" s="1" t="str">
        <f>CONCATENATE(C14," ",D14)</f>
        <v>West Horizontal</v>
      </c>
      <c r="E34" s="20">
        <v>0.99</v>
      </c>
    </row>
    <row r="35" spans="4:5" x14ac:dyDescent="0.2">
      <c r="D35" s="1" t="str">
        <f>CONCATENATE(C15," ",D15)</f>
        <v>West Vertical</v>
      </c>
      <c r="E35" s="20">
        <v>1.89</v>
      </c>
    </row>
    <row r="36" spans="4:5" x14ac:dyDescent="0.2">
      <c r="D36" s="1" t="str">
        <f>CONCATENATE(C16," ",D16)</f>
        <v>West Angled</v>
      </c>
      <c r="E36" s="20">
        <v>2.7</v>
      </c>
    </row>
    <row r="37" spans="4:5" x14ac:dyDescent="0.2">
      <c r="D37" s="1" t="str">
        <f>CONCATENATE(C17," ",D17)</f>
        <v>West Multi-Angled</v>
      </c>
      <c r="E37" s="20">
        <v>10.34</v>
      </c>
    </row>
  </sheetData>
  <sortState ref="D22:E25">
    <sortCondition ref="D22:D25"/>
  </sortState>
  <pageMargins left="0.7" right="0.7" top="0.75" bottom="0.75" header="0.3" footer="0.3"/>
  <pageSetup paperSize="8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C1:I14"/>
  <sheetViews>
    <sheetView workbookViewId="0">
      <selection activeCell="H34" sqref="H34"/>
    </sheetView>
  </sheetViews>
  <sheetFormatPr defaultColWidth="9.140625" defaultRowHeight="12.75" x14ac:dyDescent="0.2"/>
  <cols>
    <col min="1" max="2" width="9.140625" style="1"/>
    <col min="3" max="3" width="29.7109375" style="1" customWidth="1"/>
    <col min="4" max="5" width="9.140625" style="1"/>
    <col min="6" max="6" width="12.7109375" style="1" customWidth="1"/>
    <col min="7" max="7" width="12.28515625" style="1" customWidth="1"/>
    <col min="8" max="8" width="14.85546875" style="1" customWidth="1"/>
    <col min="9" max="16384" width="9.140625" style="1"/>
  </cols>
  <sheetData>
    <row r="1" spans="3:9" x14ac:dyDescent="0.2">
      <c r="C1" s="11" t="s">
        <v>125</v>
      </c>
    </row>
    <row r="3" spans="3:9" x14ac:dyDescent="0.2">
      <c r="C3" s="2" t="s">
        <v>27</v>
      </c>
      <c r="F3" s="99" t="s">
        <v>34</v>
      </c>
      <c r="G3" s="99"/>
      <c r="H3" s="99"/>
    </row>
    <row r="4" spans="3:9" x14ac:dyDescent="0.2">
      <c r="C4" s="2">
        <v>30</v>
      </c>
      <c r="E4" s="2"/>
      <c r="F4" s="2" t="s">
        <v>30</v>
      </c>
      <c r="G4" s="2" t="s">
        <v>31</v>
      </c>
      <c r="H4" s="2" t="s">
        <v>32</v>
      </c>
    </row>
    <row r="5" spans="3:9" x14ac:dyDescent="0.2">
      <c r="C5" s="2">
        <v>40</v>
      </c>
      <c r="E5" s="2" t="s">
        <v>29</v>
      </c>
      <c r="F5" s="2">
        <v>6.87</v>
      </c>
      <c r="G5" s="2">
        <v>14.4</v>
      </c>
      <c r="H5" s="2">
        <v>15.96</v>
      </c>
    </row>
    <row r="6" spans="3:9" x14ac:dyDescent="0.2">
      <c r="C6" s="2">
        <v>50</v>
      </c>
      <c r="E6" s="2" t="s">
        <v>28</v>
      </c>
      <c r="F6" s="2">
        <v>12.11</v>
      </c>
      <c r="G6" s="2">
        <v>8.3699999999999992</v>
      </c>
      <c r="H6" s="2">
        <v>9.23</v>
      </c>
    </row>
    <row r="7" spans="3:9" x14ac:dyDescent="0.2">
      <c r="F7" s="20" t="s">
        <v>30</v>
      </c>
      <c r="G7" s="20" t="s">
        <v>31</v>
      </c>
      <c r="H7" s="20" t="s">
        <v>32</v>
      </c>
    </row>
    <row r="8" spans="3:9" x14ac:dyDescent="0.2">
      <c r="E8" s="6" t="s">
        <v>33</v>
      </c>
      <c r="F8" s="8">
        <f>SUM(F5:F6)/2</f>
        <v>9.49</v>
      </c>
      <c r="G8" s="8">
        <f t="shared" ref="G8:H8" si="0">SUM(G5:G6)/2</f>
        <v>11.385</v>
      </c>
      <c r="H8" s="8">
        <f t="shared" si="0"/>
        <v>12.595000000000001</v>
      </c>
    </row>
    <row r="11" spans="3:9" x14ac:dyDescent="0.2">
      <c r="F11" s="1" t="s">
        <v>83</v>
      </c>
    </row>
    <row r="12" spans="3:9" x14ac:dyDescent="0.2">
      <c r="E12" s="1" t="s">
        <v>33</v>
      </c>
      <c r="F12" s="39">
        <v>30</v>
      </c>
      <c r="G12" s="20">
        <v>9.49</v>
      </c>
    </row>
    <row r="13" spans="3:9" x14ac:dyDescent="0.2">
      <c r="C13" s="2"/>
      <c r="D13" s="2"/>
      <c r="E13" s="2"/>
      <c r="F13" s="39">
        <v>40</v>
      </c>
      <c r="G13" s="20">
        <v>11.385</v>
      </c>
      <c r="H13" s="2"/>
      <c r="I13" s="2"/>
    </row>
    <row r="14" spans="3:9" x14ac:dyDescent="0.2">
      <c r="F14" s="39">
        <v>50</v>
      </c>
      <c r="G14" s="20">
        <v>12.595000000000001</v>
      </c>
    </row>
  </sheetData>
  <sortState ref="E12:G14">
    <sortCondition ref="F12:F14"/>
  </sortState>
  <mergeCells count="1">
    <mergeCell ref="F3:H3"/>
  </mergeCells>
  <pageMargins left="0.7" right="0.7" top="0.75" bottom="0.75" header="0.3" footer="0.3"/>
  <pageSetup paperSize="8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C1:I15"/>
  <sheetViews>
    <sheetView workbookViewId="0">
      <selection activeCell="G31" sqref="G31"/>
    </sheetView>
  </sheetViews>
  <sheetFormatPr defaultColWidth="9.140625" defaultRowHeight="12.75" x14ac:dyDescent="0.2"/>
  <cols>
    <col min="1" max="2" width="9.140625" style="1"/>
    <col min="3" max="3" width="34.7109375" style="1" customWidth="1"/>
    <col min="4" max="4" width="18.85546875" style="1" customWidth="1"/>
    <col min="5" max="5" width="18" style="1" customWidth="1"/>
    <col min="6" max="6" width="17" style="1" customWidth="1"/>
    <col min="7" max="7" width="21.42578125" style="1" customWidth="1"/>
    <col min="8" max="16384" width="9.140625" style="1"/>
  </cols>
  <sheetData>
    <row r="1" spans="3:9" x14ac:dyDescent="0.2">
      <c r="C1" s="11" t="s">
        <v>126</v>
      </c>
    </row>
    <row r="3" spans="3:9" x14ac:dyDescent="0.2">
      <c r="C3" s="6" t="s">
        <v>35</v>
      </c>
      <c r="D3" s="2" t="s">
        <v>36</v>
      </c>
      <c r="E3" s="2" t="s">
        <v>37</v>
      </c>
      <c r="F3" s="2" t="s">
        <v>38</v>
      </c>
      <c r="G3" s="2" t="s">
        <v>39</v>
      </c>
    </row>
    <row r="4" spans="3:9" x14ac:dyDescent="0.2">
      <c r="C4" s="2" t="s">
        <v>40</v>
      </c>
      <c r="D4" s="2">
        <v>7.81</v>
      </c>
      <c r="E4" s="2">
        <v>25.6</v>
      </c>
      <c r="F4" s="2">
        <v>11.33</v>
      </c>
      <c r="G4" s="2">
        <v>33.78</v>
      </c>
    </row>
    <row r="5" spans="3:9" x14ac:dyDescent="0.2">
      <c r="C5" s="2" t="s">
        <v>1</v>
      </c>
      <c r="D5" s="2">
        <v>9.48</v>
      </c>
      <c r="E5" s="2">
        <v>31.07</v>
      </c>
      <c r="F5" s="2">
        <v>13.74</v>
      </c>
      <c r="G5" s="2">
        <v>40.340000000000003</v>
      </c>
    </row>
    <row r="7" spans="3:9" x14ac:dyDescent="0.2">
      <c r="C7" s="2" t="s">
        <v>33</v>
      </c>
      <c r="D7" s="7">
        <f>SUM(D4:D5)/2</f>
        <v>8.6449999999999996</v>
      </c>
      <c r="E7" s="7">
        <f t="shared" ref="E7:G7" si="0">SUM(E4:E5)/2</f>
        <v>28.335000000000001</v>
      </c>
      <c r="F7" s="7">
        <f t="shared" si="0"/>
        <v>12.535</v>
      </c>
      <c r="G7" s="7">
        <f t="shared" si="0"/>
        <v>37.06</v>
      </c>
    </row>
    <row r="11" spans="3:9" x14ac:dyDescent="0.2">
      <c r="D11" s="21" t="s">
        <v>38</v>
      </c>
      <c r="E11" s="40">
        <v>12.535</v>
      </c>
    </row>
    <row r="12" spans="3:9" x14ac:dyDescent="0.2">
      <c r="D12" s="21" t="s">
        <v>39</v>
      </c>
      <c r="E12" s="40">
        <v>37.06</v>
      </c>
    </row>
    <row r="13" spans="3:9" x14ac:dyDescent="0.2">
      <c r="C13" s="2"/>
      <c r="D13" s="21" t="s">
        <v>36</v>
      </c>
      <c r="E13" s="40">
        <v>8.6449999999999996</v>
      </c>
      <c r="F13" s="2"/>
      <c r="G13" s="2"/>
      <c r="H13" s="2"/>
      <c r="I13" s="2"/>
    </row>
    <row r="14" spans="3:9" x14ac:dyDescent="0.2">
      <c r="D14" s="21" t="s">
        <v>37</v>
      </c>
      <c r="E14" s="40">
        <v>28.335000000000001</v>
      </c>
    </row>
    <row r="15" spans="3:9" x14ac:dyDescent="0.2">
      <c r="E15" s="41"/>
    </row>
  </sheetData>
  <sortState ref="D11:E14">
    <sortCondition ref="D11:D14"/>
  </sortState>
  <pageMargins left="0.7" right="0.7" top="0.75" bottom="0.75" header="0.3" footer="0.3"/>
  <pageSetup paperSize="8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H13"/>
  <sheetViews>
    <sheetView workbookViewId="0">
      <selection activeCell="B1" sqref="B1:D1"/>
    </sheetView>
  </sheetViews>
  <sheetFormatPr defaultColWidth="9.140625" defaultRowHeight="12.75" x14ac:dyDescent="0.2"/>
  <cols>
    <col min="1" max="1" width="0.7109375" style="1" customWidth="1"/>
    <col min="2" max="2" width="33" style="1" customWidth="1"/>
    <col min="3" max="3" width="23.140625" style="1" customWidth="1"/>
    <col min="4" max="4" width="29.140625" style="1" customWidth="1"/>
    <col min="5" max="5" width="29.28515625" style="1" customWidth="1"/>
    <col min="6" max="6" width="27.140625" style="1" customWidth="1"/>
    <col min="7" max="7" width="27.7109375" style="1" customWidth="1"/>
    <col min="8" max="8" width="27.28515625" style="1" customWidth="1"/>
    <col min="9" max="16384" width="9.140625" style="1"/>
  </cols>
  <sheetData>
    <row r="1" spans="2:8" ht="18" customHeight="1" x14ac:dyDescent="0.2">
      <c r="B1" s="100" t="s">
        <v>127</v>
      </c>
      <c r="C1" s="100"/>
      <c r="D1" s="100"/>
    </row>
    <row r="3" spans="2:8" ht="55.5" customHeight="1" x14ac:dyDescent="0.2">
      <c r="C3" s="9" t="s">
        <v>21</v>
      </c>
      <c r="D3" s="9" t="s">
        <v>111</v>
      </c>
      <c r="E3" s="9" t="s">
        <v>112</v>
      </c>
      <c r="F3" s="9" t="s">
        <v>113</v>
      </c>
      <c r="G3" s="9" t="s">
        <v>114</v>
      </c>
      <c r="H3" s="9" t="s">
        <v>115</v>
      </c>
    </row>
    <row r="4" spans="2:8" x14ac:dyDescent="0.2">
      <c r="B4" s="2" t="s">
        <v>2</v>
      </c>
      <c r="C4" s="3">
        <v>24371.64</v>
      </c>
      <c r="D4" s="4">
        <v>18209.233899272727</v>
      </c>
      <c r="E4" s="4">
        <v>16708.088582181819</v>
      </c>
      <c r="F4" s="4">
        <v>14637.053083090908</v>
      </c>
      <c r="G4" s="4">
        <v>14510.99754509091</v>
      </c>
      <c r="H4" s="4">
        <v>13324.615651272727</v>
      </c>
    </row>
    <row r="5" spans="2:8" x14ac:dyDescent="0.2">
      <c r="B5" s="2" t="s">
        <v>1</v>
      </c>
      <c r="C5" s="3">
        <v>25901.279999999999</v>
      </c>
      <c r="D5" s="4">
        <v>19352.102107636361</v>
      </c>
      <c r="E5" s="4">
        <v>17756.740237090908</v>
      </c>
      <c r="F5" s="4">
        <v>15555.720102545452</v>
      </c>
      <c r="G5" s="4">
        <v>15421.752926545454</v>
      </c>
      <c r="H5" s="4">
        <v>14160.910011636362</v>
      </c>
    </row>
    <row r="6" spans="2:8" x14ac:dyDescent="0.2">
      <c r="B6" s="2" t="s">
        <v>3</v>
      </c>
      <c r="C6" s="3">
        <v>43776.78</v>
      </c>
      <c r="D6" s="4">
        <v>32707.754848545454</v>
      </c>
      <c r="E6" s="4">
        <v>30011.370514363636</v>
      </c>
      <c r="F6" s="4">
        <v>26291.339141181816</v>
      </c>
      <c r="G6" s="4">
        <v>26064.915906848488</v>
      </c>
      <c r="H6" s="4">
        <v>23933.915319212119</v>
      </c>
    </row>
    <row r="7" spans="2:8" x14ac:dyDescent="0.2">
      <c r="B7" s="2" t="s">
        <v>4</v>
      </c>
      <c r="C7" s="3">
        <v>46913.5</v>
      </c>
      <c r="D7" s="4">
        <v>35051.350443939395</v>
      </c>
      <c r="E7" s="4">
        <v>32161.763168181817</v>
      </c>
      <c r="F7" s="4">
        <v>28175.181884090907</v>
      </c>
      <c r="G7" s="4">
        <v>27932.53483686869</v>
      </c>
      <c r="H7" s="4">
        <v>25648.842521717172</v>
      </c>
    </row>
    <row r="8" spans="2:8" x14ac:dyDescent="0.2">
      <c r="B8" s="2" t="s">
        <v>20</v>
      </c>
      <c r="C8" s="3">
        <v>20692.95</v>
      </c>
      <c r="D8" s="4">
        <v>15460.706239545456</v>
      </c>
      <c r="E8" s="4">
        <v>14186.145931363637</v>
      </c>
      <c r="F8" s="4">
        <v>12427.715475681818</v>
      </c>
      <c r="G8" s="4">
        <v>12320.686939848487</v>
      </c>
      <c r="H8" s="4">
        <v>11313.379216212121</v>
      </c>
    </row>
    <row r="9" spans="2:8" x14ac:dyDescent="0.2">
      <c r="B9" s="2" t="s">
        <v>22</v>
      </c>
      <c r="C9" s="3">
        <v>20844.22</v>
      </c>
      <c r="D9" s="4">
        <v>15573.727390848486</v>
      </c>
      <c r="E9" s="4">
        <v>14289.849767454547</v>
      </c>
      <c r="F9" s="4">
        <v>12518.564799727272</v>
      </c>
      <c r="G9" s="4">
        <v>12410.753861838386</v>
      </c>
      <c r="H9" s="4">
        <v>11396.082497959596</v>
      </c>
    </row>
    <row r="10" spans="2:8" x14ac:dyDescent="0.2">
      <c r="B10" s="2" t="s">
        <v>23</v>
      </c>
      <c r="C10" s="3">
        <v>24425.15</v>
      </c>
      <c r="D10" s="4">
        <v>18249.21381469697</v>
      </c>
      <c r="E10" s="4">
        <v>16744.772605909093</v>
      </c>
      <c r="F10" s="4">
        <v>14669.189972954546</v>
      </c>
      <c r="G10" s="4">
        <v>14542.857669343437</v>
      </c>
      <c r="H10" s="4">
        <v>13353.870973585859</v>
      </c>
    </row>
    <row r="11" spans="2:8" x14ac:dyDescent="0.2">
      <c r="B11" s="2" t="s">
        <v>24</v>
      </c>
      <c r="C11" s="3">
        <v>42441.51</v>
      </c>
      <c r="D11" s="4">
        <v>31710.109891181819</v>
      </c>
      <c r="E11" s="4">
        <v>29095.970096454548</v>
      </c>
      <c r="F11" s="4">
        <v>25489.406326227272</v>
      </c>
      <c r="G11" s="4">
        <v>25269.88940506061</v>
      </c>
      <c r="H11" s="4">
        <v>23203.888142515152</v>
      </c>
    </row>
    <row r="12" spans="2:8" x14ac:dyDescent="0.2">
      <c r="B12" s="2" t="s">
        <v>25</v>
      </c>
      <c r="C12" s="3">
        <v>43584.800000000003</v>
      </c>
      <c r="D12" s="4">
        <v>32564.317282424243</v>
      </c>
      <c r="E12" s="4">
        <v>29879.757752727273</v>
      </c>
      <c r="F12" s="4">
        <v>26176.040316363637</v>
      </c>
      <c r="G12" s="4">
        <v>25950.610045252528</v>
      </c>
      <c r="H12" s="4">
        <v>23828.954811313131</v>
      </c>
    </row>
    <row r="13" spans="2:8" x14ac:dyDescent="0.2">
      <c r="B13" s="2" t="s">
        <v>26</v>
      </c>
      <c r="C13" s="3">
        <v>21911.919999999998</v>
      </c>
      <c r="D13" s="4">
        <v>16371.457828121211</v>
      </c>
      <c r="E13" s="4">
        <v>15021.816355636362</v>
      </c>
      <c r="F13" s="4">
        <v>13159.80115381818</v>
      </c>
      <c r="G13" s="4">
        <v>13046.467834262627</v>
      </c>
      <c r="H13" s="4">
        <v>11979.822128565655</v>
      </c>
    </row>
  </sheetData>
  <mergeCells count="1">
    <mergeCell ref="B1:D1"/>
  </mergeCells>
  <pageMargins left="0.2" right="0.2" top="0.75" bottom="0.75" header="0.3" footer="0.3"/>
  <pageSetup paperSize="8" orientation="landscape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between" id="{46C7E3DF-6F8D-49A2-B257-C870A83A51D4}">
            <xm:f>$D$3</xm:f>
            <xm:f>'Data B'!$D$6</xm:f>
            <x14:dxf/>
          </x14:cfRule>
          <xm:sqref>D5</xm:sqref>
        </x14:conditionalFormatting>
        <x14:conditionalFormatting xmlns:xm="http://schemas.microsoft.com/office/excel/2006/main">
          <x14:cfRule type="cellIs" priority="6" operator="between" id="{2154B1BB-60D0-4146-BCB3-A92A426167BB}">
            <xm:f>$D$3</xm:f>
            <xm:f>'Data B'!$D$6</xm:f>
            <x14:dxf/>
          </x14:cfRule>
          <xm:sqref>D8</xm:sqref>
        </x14:conditionalFormatting>
        <x14:conditionalFormatting xmlns:xm="http://schemas.microsoft.com/office/excel/2006/main">
          <x14:cfRule type="cellIs" priority="5" operator="between" id="{BD2DC754-0FC2-4896-82E2-3845ED910B22}">
            <xm:f>$D$3</xm:f>
            <xm:f>'Data B'!$D$6</xm:f>
            <x14:dxf/>
          </x14:cfRule>
          <xm:sqref>D11</xm:sqref>
        </x14:conditionalFormatting>
        <x14:conditionalFormatting xmlns:xm="http://schemas.microsoft.com/office/excel/2006/main">
          <x14:cfRule type="cellIs" priority="4" operator="between" id="{1106918A-2546-422C-9971-49A7FC29CFD9}">
            <xm:f>$D$3</xm:f>
            <xm:f>'Data B'!$D$6</xm:f>
            <x14:dxf/>
          </x14:cfRule>
          <xm:sqref>E13</xm:sqref>
        </x14:conditionalFormatting>
        <x14:conditionalFormatting xmlns:xm="http://schemas.microsoft.com/office/excel/2006/main">
          <x14:cfRule type="cellIs" priority="3" operator="between" id="{43A1F97B-1027-484F-9DB0-B1FEDAECA7DA}">
            <xm:f>$D$3</xm:f>
            <xm:f>'Data B'!$D$6</xm:f>
            <x14:dxf/>
          </x14:cfRule>
          <xm:sqref>E11</xm:sqref>
        </x14:conditionalFormatting>
        <x14:conditionalFormatting xmlns:xm="http://schemas.microsoft.com/office/excel/2006/main">
          <x14:cfRule type="cellIs" priority="2" operator="between" id="{FE3FCE8B-DBE1-4DF8-85F4-6F81FBCFAD54}">
            <xm:f>$D$3</xm:f>
            <xm:f>'Data B'!$D$6</xm:f>
            <x14:dxf/>
          </x14:cfRule>
          <xm:sqref>F10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C1:D25"/>
  <sheetViews>
    <sheetView workbookViewId="0">
      <selection activeCell="G25" sqref="G25"/>
    </sheetView>
  </sheetViews>
  <sheetFormatPr defaultRowHeight="15" x14ac:dyDescent="0.25"/>
  <cols>
    <col min="3" max="3" width="40.5703125" customWidth="1"/>
    <col min="4" max="4" width="18.140625" style="64" customWidth="1"/>
  </cols>
  <sheetData>
    <row r="1" spans="3:4" x14ac:dyDescent="0.25">
      <c r="C1" s="84" t="s">
        <v>128</v>
      </c>
    </row>
    <row r="3" spans="3:4" x14ac:dyDescent="0.25">
      <c r="C3" t="s">
        <v>94</v>
      </c>
    </row>
    <row r="4" spans="3:4" x14ac:dyDescent="0.25">
      <c r="C4" t="s">
        <v>96</v>
      </c>
      <c r="D4" s="64" t="s">
        <v>95</v>
      </c>
    </row>
    <row r="5" spans="3:4" x14ac:dyDescent="0.25">
      <c r="C5" s="64">
        <v>0</v>
      </c>
      <c r="D5" s="64">
        <v>0</v>
      </c>
    </row>
    <row r="6" spans="3:4" x14ac:dyDescent="0.25">
      <c r="C6" s="64">
        <v>10</v>
      </c>
      <c r="D6" s="64">
        <v>3</v>
      </c>
    </row>
    <row r="7" spans="3:4" x14ac:dyDescent="0.25">
      <c r="C7" s="64">
        <v>20</v>
      </c>
      <c r="D7" s="64">
        <v>4</v>
      </c>
    </row>
    <row r="8" spans="3:4" x14ac:dyDescent="0.25">
      <c r="C8" s="64"/>
    </row>
    <row r="13" spans="3:4" x14ac:dyDescent="0.25">
      <c r="C13" s="64" t="s">
        <v>95</v>
      </c>
    </row>
    <row r="14" spans="3:4" x14ac:dyDescent="0.25">
      <c r="C14" s="64" t="s">
        <v>99</v>
      </c>
      <c r="D14" s="64">
        <v>1</v>
      </c>
    </row>
    <row r="15" spans="3:4" x14ac:dyDescent="0.25">
      <c r="C15" s="64"/>
    </row>
    <row r="16" spans="3:4" x14ac:dyDescent="0.25">
      <c r="C16" s="64" t="s">
        <v>100</v>
      </c>
    </row>
    <row r="17" spans="3:4" x14ac:dyDescent="0.25">
      <c r="C17" s="71">
        <v>0.1</v>
      </c>
      <c r="D17" s="64">
        <v>2</v>
      </c>
    </row>
    <row r="18" spans="3:4" x14ac:dyDescent="0.25">
      <c r="C18" s="71">
        <v>0.2</v>
      </c>
      <c r="D18" s="64">
        <v>3</v>
      </c>
    </row>
    <row r="25" spans="3:4" x14ac:dyDescent="0.25">
      <c r="C25" s="70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</vt:lpstr>
      <vt:lpstr>Performance Assessment Tool</vt:lpstr>
      <vt:lpstr>Data A </vt:lpstr>
      <vt:lpstr>Data B</vt:lpstr>
      <vt:lpstr>Data C</vt:lpstr>
      <vt:lpstr>Data D</vt:lpstr>
      <vt:lpstr>Data E</vt:lpstr>
      <vt:lpstr>Data F</vt:lpstr>
      <vt:lpstr>Data G</vt:lpstr>
      <vt:lpstr>Basecase</vt:lpstr>
      <vt:lpstr>'Performance Assessment Tool'!Print_Area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HBDESIGNS</dc:creator>
  <cp:lastModifiedBy>Staff/Research Student</cp:lastModifiedBy>
  <cp:lastPrinted>2016-12-18T17:17:13Z</cp:lastPrinted>
  <dcterms:created xsi:type="dcterms:W3CDTF">2015-05-31T08:51:36Z</dcterms:created>
  <dcterms:modified xsi:type="dcterms:W3CDTF">2017-01-30T09:56:12Z</dcterms:modified>
</cp:coreProperties>
</file>